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 activeTab="3"/>
  </bookViews>
  <sheets>
    <sheet name="每周进度表" sheetId="4" state="hidden" r:id="rId1"/>
    <sheet name="计算表" sheetId="5" state="hidden" r:id="rId2"/>
    <sheet name="报废补贴" sheetId="7" state="hidden" r:id="rId3"/>
    <sheet name="2025年12月31日数据定案表" sheetId="13" r:id="rId4"/>
    <sheet name="每周进度表（系统数据）底表" sheetId="9" r:id="rId5"/>
    <sheet name="Sheet1" sheetId="10" r:id="rId6"/>
    <sheet name="12.22底表--支付率以12.15的表为准" sheetId="12" r:id="rId7"/>
    <sheet name="和政县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<sst xmlns="http://schemas.openxmlformats.org/spreadsheetml/2006/main" count="292" uniqueCount="89">
  <si>
    <t>2024年各县市农机购置补贴资金使用情况进度表</t>
  </si>
  <si>
    <t>单位：万元、户、台</t>
  </si>
  <si>
    <t>县市</t>
  </si>
  <si>
    <t>落实
县级
补贴
资金</t>
  </si>
  <si>
    <t>2023年总实施资金</t>
  </si>
  <si>
    <t>系统内申请使用资金</t>
  </si>
  <si>
    <t>2023年
资金缺口</t>
  </si>
  <si>
    <t>国补使用
比例</t>
  </si>
  <si>
    <t>已兑付
资金</t>
  </si>
  <si>
    <t>兑付
比例</t>
  </si>
  <si>
    <t>受益
农户
（含超录）</t>
  </si>
  <si>
    <t>机具
台数
（含超录）</t>
  </si>
  <si>
    <t>上年
未兑
付</t>
  </si>
  <si>
    <t>2024年资金</t>
  </si>
  <si>
    <t>实施
总资金</t>
  </si>
  <si>
    <t>2023年
分配</t>
  </si>
  <si>
    <t>结转
上年</t>
  </si>
  <si>
    <t>总计</t>
  </si>
  <si>
    <t>2022年
超录</t>
  </si>
  <si>
    <t>2023年
录入</t>
  </si>
  <si>
    <t>合计</t>
  </si>
  <si>
    <t>临夏市</t>
  </si>
  <si>
    <t>临夏县</t>
  </si>
  <si>
    <t>康乐县</t>
  </si>
  <si>
    <t>永靖县</t>
  </si>
  <si>
    <t>广河县</t>
  </si>
  <si>
    <t>和政县</t>
  </si>
  <si>
    <t>东乡县</t>
  </si>
  <si>
    <t>积石山县</t>
  </si>
  <si>
    <t>备注：2023年资金缺口=系统内申请使用资金总数-2023年分配资金-结转县市2023年使用资金；
           实施总资金=2023年实施总资金1501.371万元+广河县上年未兑付16.937万元=1518.308万元；
           总体兑付率=2023年已兑付资金1353.02万元/实施总资金1518.308万元=89.11%；</t>
  </si>
  <si>
    <t>2024年实施资金</t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</si>
  <si>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年超录</t>
    </r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</si>
  <si>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年临夏市录入未结算</t>
    </r>
  </si>
  <si>
    <r>
      <rPr>
        <sz val="10"/>
        <rFont val="Arial"/>
        <charset val="0"/>
      </rPr>
      <t>2024</t>
    </r>
    <r>
      <rPr>
        <sz val="10"/>
        <rFont val="方正书宋_GBK"/>
        <charset val="0"/>
      </rPr>
      <t>年申请</t>
    </r>
  </si>
  <si>
    <t>小计</t>
  </si>
  <si>
    <t>资金缺口</t>
  </si>
  <si>
    <r>
      <rPr>
        <sz val="10"/>
        <rFont val="Arial"/>
        <charset val="0"/>
      </rPr>
      <t>20231229</t>
    </r>
    <r>
      <rPr>
        <sz val="10"/>
        <rFont val="方正书宋_GBK"/>
        <charset val="0"/>
      </rPr>
      <t>定案基数</t>
    </r>
  </si>
  <si>
    <t>2024年</t>
  </si>
  <si>
    <t>结转</t>
  </si>
  <si>
    <t>分配</t>
  </si>
  <si>
    <t>申请资金</t>
  </si>
  <si>
    <t>户数</t>
  </si>
  <si>
    <t>机具数</t>
  </si>
  <si>
    <t>资金缺口不含临夏市数据</t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</si>
  <si>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年已结算（不含报废）</t>
    </r>
  </si>
  <si>
    <t>数据填写区（2023年累计数据）</t>
  </si>
  <si>
    <r>
      <rPr>
        <sz val="10"/>
        <rFont val="Arial"/>
        <charset val="0"/>
      </rPr>
      <t>2023</t>
    </r>
    <r>
      <rPr>
        <sz val="10"/>
        <rFont val="方正书宋_GBK"/>
        <charset val="0"/>
      </rPr>
      <t>年超录（临夏市录入未结算）</t>
    </r>
  </si>
  <si>
    <t>资金</t>
  </si>
  <si>
    <t>报废补贴</t>
  </si>
  <si>
    <t>2022年</t>
  </si>
  <si>
    <t>2023年</t>
  </si>
  <si>
    <t>已兑付</t>
  </si>
  <si>
    <t>未兑付</t>
  </si>
  <si>
    <t>2025年各县市农机购置补贴资金使用情况统计表</t>
  </si>
  <si>
    <t>2025.12.31</t>
  </si>
  <si>
    <t>实施资金</t>
  </si>
  <si>
    <t>申请使用中央资金</t>
  </si>
  <si>
    <t>使用率</t>
  </si>
  <si>
    <t>支付率</t>
  </si>
  <si>
    <t>申请使用省级资金</t>
  </si>
  <si>
    <t>2025年
录入受益农户(含超录）</t>
  </si>
  <si>
    <t>2025年
录入机具台数(含超录）</t>
  </si>
  <si>
    <t>中央</t>
  </si>
  <si>
    <t>省级</t>
  </si>
  <si>
    <t>2024年结转资金</t>
  </si>
  <si>
    <t>2024年
超录</t>
  </si>
  <si>
    <t>2025年
录入</t>
  </si>
  <si>
    <t>/</t>
  </si>
  <si>
    <t>2025年各县市农机购置补贴资金使用情况进度表</t>
  </si>
  <si>
    <t>资金：万元</t>
  </si>
  <si>
    <t>2025年中央
录入受益农户</t>
  </si>
  <si>
    <t>2025年中央
录入机具台数</t>
  </si>
  <si>
    <r>
      <rPr>
        <sz val="14"/>
        <rFont val="Arial"/>
        <charset val="0"/>
      </rPr>
      <t>2024</t>
    </r>
    <r>
      <rPr>
        <sz val="14"/>
        <rFont val="宋体"/>
        <charset val="134"/>
      </rPr>
      <t>年定案表统计数据</t>
    </r>
  </si>
  <si>
    <r>
      <rPr>
        <sz val="14"/>
        <rFont val="Arial"/>
        <charset val="0"/>
      </rPr>
      <t>2024</t>
    </r>
    <r>
      <rPr>
        <sz val="14"/>
        <rFont val="宋体"/>
        <charset val="134"/>
      </rPr>
      <t>年超录数据估算</t>
    </r>
  </si>
  <si>
    <t>中央+省级
下达资金</t>
  </si>
  <si>
    <t>使用资金</t>
  </si>
  <si>
    <t>资金使用
完结日期</t>
  </si>
  <si>
    <t>受益农户</t>
  </si>
  <si>
    <t>机具台数</t>
  </si>
  <si>
    <t>以此数据为准，2024年超录数据估算为超录机具台数4082台、超录受益农户为2990户。</t>
  </si>
  <si>
    <t>2025.12.22</t>
  </si>
  <si>
    <r>
      <rPr>
        <b/>
        <sz val="22"/>
        <rFont val="方正书宋_GBK"/>
        <charset val="0"/>
      </rPr>
      <t>和政县</t>
    </r>
    <r>
      <rPr>
        <b/>
        <sz val="22"/>
        <rFont val="Arial"/>
        <charset val="0"/>
      </rPr>
      <t>2025</t>
    </r>
    <r>
      <rPr>
        <b/>
        <sz val="22"/>
        <rFont val="方正书宋_GBK"/>
        <charset val="0"/>
      </rPr>
      <t>年凭证统计表</t>
    </r>
  </si>
  <si>
    <t>时间</t>
  </si>
  <si>
    <t>凭证数量</t>
  </si>
  <si>
    <r>
      <rPr>
        <b/>
        <sz val="12"/>
        <rFont val="方正书宋_GBK"/>
        <charset val="0"/>
      </rPr>
      <t>预算名称</t>
    </r>
    <r>
      <rPr>
        <b/>
        <sz val="12"/>
        <rFont val="Arial"/>
        <charset val="0"/>
      </rPr>
      <t>2025</t>
    </r>
  </si>
  <si>
    <r>
      <rPr>
        <b/>
        <sz val="12"/>
        <rFont val="方正书宋_GBK"/>
        <charset val="0"/>
      </rPr>
      <t>预算名称</t>
    </r>
    <r>
      <rPr>
        <b/>
        <sz val="12"/>
        <rFont val="Arial"/>
        <charset val="0"/>
      </rPr>
      <t>2024</t>
    </r>
  </si>
  <si>
    <t>备注</t>
  </si>
  <si>
    <t>∕</t>
  </si>
  <si>
    <r>
      <rPr>
        <sz val="12"/>
        <rFont val="方正书宋_GBK"/>
        <charset val="0"/>
      </rPr>
      <t>提供数据</t>
    </r>
    <r>
      <rPr>
        <sz val="12"/>
        <rFont val="Arial"/>
        <charset val="0"/>
      </rPr>
      <t>163.674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</si>
</sst>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0_ "/>
    <numFmt numFmtId="181" formatCode="0_ "/>
    <numFmt numFmtId="182" formatCode="0.00_ "/>
    <numFmt numFmtId="183" formatCode="yyyy&quot;年&quot;m&quot;月&quot;d&quot;日&quot;;@"/>
  </numFmts>
  <fonts count="46">
    <font>
      <sz val="10"/>
      <name val="Arial"/>
      <charset val="0"/>
    </font>
    <font>
      <b/>
      <sz val="22"/>
      <name val="方正书宋_GBK"/>
      <charset val="0"/>
    </font>
    <font>
      <b/>
      <sz val="22"/>
      <name val="Arial"/>
      <charset val="0"/>
    </font>
    <font>
      <b/>
      <sz val="12"/>
      <name val="方正书宋_GBK"/>
      <charset val="0"/>
    </font>
    <font>
      <sz val="12"/>
      <name val="Arial"/>
      <charset val="0"/>
    </font>
    <font>
      <sz val="12"/>
      <name val="方正书宋_GBK"/>
      <charset val="0"/>
    </font>
    <font>
      <sz val="12"/>
      <name val="华文中宋"/>
      <charset val="0"/>
    </font>
    <font>
      <b/>
      <sz val="12"/>
      <name val="Arial"/>
      <charset val="0"/>
    </font>
    <font>
      <b/>
      <sz val="20"/>
      <name val="宋体"/>
      <charset val="134"/>
      <scheme val="major"/>
    </font>
    <font>
      <sz val="26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name val="Arial"/>
      <charset val="0"/>
    </font>
    <font>
      <sz val="14"/>
      <name val="Arial"/>
      <charset val="0"/>
    </font>
    <font>
      <sz val="14"/>
      <name val="宋体"/>
      <charset val="134"/>
    </font>
    <font>
      <b/>
      <sz val="18"/>
      <name val="宋体"/>
      <charset val="134"/>
    </font>
    <font>
      <sz val="22"/>
      <name val="Arial"/>
      <charset val="0"/>
    </font>
    <font>
      <b/>
      <sz val="12"/>
      <name val="宋体"/>
      <charset val="134"/>
      <scheme val="major"/>
    </font>
    <font>
      <sz val="20"/>
      <name val="仿宋_GB2312"/>
      <charset val="134"/>
    </font>
    <font>
      <sz val="10"/>
      <name val="方正书宋_GBK"/>
      <charset val="0"/>
    </font>
    <font>
      <sz val="11"/>
      <name val="Arial"/>
      <charset val="0"/>
    </font>
    <font>
      <b/>
      <sz val="16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22" applyNumberFormat="0" applyAlignment="0" applyProtection="0">
      <alignment vertical="center"/>
    </xf>
    <xf numFmtId="0" fontId="37" fillId="10" borderId="23" applyNumberFormat="0" applyAlignment="0" applyProtection="0">
      <alignment vertical="center"/>
    </xf>
    <xf numFmtId="0" fontId="38" fillId="10" borderId="22" applyNumberFormat="0" applyAlignment="0" applyProtection="0">
      <alignment vertical="center"/>
    </xf>
    <xf numFmtId="0" fontId="39" fillId="11" borderId="24" applyNumberFormat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</cellStyleXfs>
  <cellXfs count="15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0" fontId="13" fillId="2" borderId="1" xfId="0" applyNumberFormat="1" applyFont="1" applyFill="1" applyBorder="1" applyAlignment="1">
      <alignment horizontal="center" vertical="center"/>
    </xf>
    <xf numFmtId="10" fontId="13" fillId="2" borderId="1" xfId="0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31" fontId="18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0" xfId="0" applyFont="1" applyFill="1"/>
    <xf numFmtId="0" fontId="17" fillId="5" borderId="1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31" fontId="18" fillId="0" borderId="3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1" fillId="0" borderId="0" xfId="0" applyFont="1"/>
    <xf numFmtId="0" fontId="18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31" fontId="18" fillId="0" borderId="7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0" xfId="0" applyNumberFormat="1"/>
    <xf numFmtId="0" fontId="0" fillId="0" borderId="0" xfId="0" applyNumberFormat="1" applyFill="1"/>
    <xf numFmtId="0" fontId="8" fillId="0" borderId="0" xfId="0" applyNumberFormat="1" applyFont="1" applyAlignment="1">
      <alignment horizontal="center" vertical="center" wrapText="1"/>
    </xf>
    <xf numFmtId="0" fontId="22" fillId="0" borderId="0" xfId="0" applyNumberFormat="1" applyFont="1" applyAlignment="1">
      <alignment horizontal="right" vertical="center"/>
    </xf>
    <xf numFmtId="0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31" fontId="0" fillId="0" borderId="0" xfId="0" applyNumberFormat="1"/>
    <xf numFmtId="0" fontId="2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0" xfId="0" applyBorder="1"/>
    <xf numFmtId="0" fontId="25" fillId="0" borderId="0" xfId="0" applyFont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182" fontId="27" fillId="0" borderId="0" xfId="0" applyNumberFormat="1" applyFont="1" applyAlignment="1">
      <alignment vertical="center"/>
    </xf>
    <xf numFmtId="0" fontId="27" fillId="0" borderId="0" xfId="0" applyNumberFormat="1" applyFont="1" applyAlignment="1">
      <alignment vertical="center"/>
    </xf>
    <xf numFmtId="0" fontId="27" fillId="0" borderId="0" xfId="0" applyNumberFormat="1" applyFont="1" applyAlignment="1">
      <alignment horizontal="center" vertical="center"/>
    </xf>
    <xf numFmtId="183" fontId="27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7" borderId="2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27" fillId="7" borderId="4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10" fontId="27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6DCE4"/>
      <color rgb="00E7E6E6"/>
      <color rgb="005FCA70"/>
      <color rgb="00D157CA"/>
      <color rgb="005B9BD5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AA14"/>
  <sheetViews>
    <sheetView workbookViewId="0">
      <selection activeCell="A1" sqref="$A1:$XFD65536"/>
    </sheetView>
  </sheetViews>
  <sheetFormatPr defaultColWidth="26.2857142857143" defaultRowHeight="14.25"/>
  <cols>
    <col min="1" max="1" width="10.1428571428571" customWidth="1"/>
    <col min="2" max="2" width="9.56190476190476" customWidth="1"/>
    <col min="3" max="3" width="10.6952380952381" customWidth="1"/>
    <col min="4" max="4" width="9.28571428571429" customWidth="1"/>
    <col min="5" max="5" width="9.56190476190476" style="102" customWidth="1"/>
    <col min="6" max="7" width="10.6952380952381" style="102" customWidth="1"/>
    <col min="8" max="10" width="9.56190476190476" style="102" customWidth="1"/>
    <col min="11" max="11" width="12.4190476190476" style="102" customWidth="1"/>
    <col min="12" max="12" width="8.41904761904762" style="102" customWidth="1"/>
    <col min="13" max="13" width="7.14285714285714" style="102" customWidth="1"/>
    <col min="14" max="14" width="7.14285714285714" customWidth="1"/>
    <col min="15" max="15" width="9.41904761904762" customWidth="1"/>
    <col min="16" max="16" width="9.28571428571429" style="127" customWidth="1"/>
    <col min="17" max="27" width="26.2857142857143" style="127"/>
  </cols>
  <sheetData>
    <row r="1" s="23" customFormat="1" ht="27" customHeight="1" spans="1:27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</row>
    <row r="2" s="23" customFormat="1" ht="16" customHeight="1" spans="1:27">
      <c r="A2" s="130"/>
      <c r="B2" s="130"/>
      <c r="C2" s="130"/>
      <c r="D2" s="130"/>
      <c r="E2" s="131"/>
      <c r="F2" s="131"/>
      <c r="G2" s="131"/>
      <c r="H2" s="132" t="s">
        <v>1</v>
      </c>
      <c r="I2" s="132"/>
      <c r="J2" s="132"/>
      <c r="K2" s="132"/>
      <c r="L2" s="133">
        <f>计算表!P1</f>
        <v>45341</v>
      </c>
      <c r="M2" s="133"/>
      <c r="N2" s="133"/>
      <c r="O2" s="133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s="99" customFormat="1" ht="33.75" spans="1:27">
      <c r="A3" s="134" t="s">
        <v>2</v>
      </c>
      <c r="B3" s="135" t="s">
        <v>3</v>
      </c>
      <c r="C3" s="136" t="s">
        <v>4</v>
      </c>
      <c r="D3" s="136"/>
      <c r="E3" s="136"/>
      <c r="F3" s="136" t="s">
        <v>5</v>
      </c>
      <c r="G3" s="136"/>
      <c r="H3" s="136"/>
      <c r="I3" s="137" t="s">
        <v>6</v>
      </c>
      <c r="J3" s="135" t="s">
        <v>7</v>
      </c>
      <c r="K3" s="137" t="s">
        <v>8</v>
      </c>
      <c r="L3" s="135" t="s">
        <v>9</v>
      </c>
      <c r="M3" s="135" t="s">
        <v>10</v>
      </c>
      <c r="N3" s="135" t="s">
        <v>11</v>
      </c>
      <c r="O3" s="137" t="s">
        <v>12</v>
      </c>
      <c r="P3" s="134" t="s">
        <v>13</v>
      </c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</row>
    <row r="4" s="100" customFormat="1" ht="33.75" spans="1:27">
      <c r="A4" s="139"/>
      <c r="B4" s="140"/>
      <c r="C4" s="137" t="s">
        <v>14</v>
      </c>
      <c r="D4" s="136" t="s">
        <v>15</v>
      </c>
      <c r="E4" s="135" t="s">
        <v>16</v>
      </c>
      <c r="F4" s="137" t="s">
        <v>17</v>
      </c>
      <c r="G4" s="141" t="s">
        <v>18</v>
      </c>
      <c r="H4" s="142" t="s">
        <v>19</v>
      </c>
      <c r="I4" s="143"/>
      <c r="J4" s="140"/>
      <c r="K4" s="143"/>
      <c r="L4" s="140"/>
      <c r="M4" s="140"/>
      <c r="N4" s="140"/>
      <c r="O4" s="143"/>
      <c r="P4" s="144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s="100" customFormat="1" ht="34" customHeight="1" spans="1:27">
      <c r="A5" s="145" t="s">
        <v>20</v>
      </c>
      <c r="B5" s="146">
        <f t="shared" ref="B5:I5" si="0">SUM(B6:B13)</f>
        <v>59.6114</v>
      </c>
      <c r="C5" s="147">
        <f t="shared" si="0"/>
        <v>1501.371</v>
      </c>
      <c r="D5" s="146">
        <f t="shared" si="0"/>
        <v>1111</v>
      </c>
      <c r="E5" s="146">
        <f t="shared" si="0"/>
        <v>390.371</v>
      </c>
      <c r="F5" s="147">
        <f t="shared" si="0"/>
        <v>792.154</v>
      </c>
      <c r="G5" s="146">
        <f t="shared" si="0"/>
        <v>792.154</v>
      </c>
      <c r="H5" s="146">
        <f t="shared" si="0"/>
        <v>0</v>
      </c>
      <c r="I5" s="147">
        <f t="shared" si="0"/>
        <v>-502.572</v>
      </c>
      <c r="J5" s="148">
        <f t="shared" ref="J5:J13" si="1">F5/C5</f>
        <v>0.527620421601323</v>
      </c>
      <c r="K5" s="147">
        <f>SUM(K6:K13)</f>
        <v>1353.02</v>
      </c>
      <c r="L5" s="148">
        <f>K5/(C7+C8+C9+C10+C11+C12+C13+F6)</f>
        <v>1.04502419817011</v>
      </c>
      <c r="M5" s="149">
        <f>SUM(M6:M13)</f>
        <v>6202</v>
      </c>
      <c r="N5" s="149">
        <f>SUM(N6:N13)</f>
        <v>7400</v>
      </c>
      <c r="O5" s="147">
        <f>SUM(O6:O13)</f>
        <v>16.937</v>
      </c>
      <c r="P5" s="145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s="100" customFormat="1" ht="34" customHeight="1" spans="1:27">
      <c r="A6" s="145" t="s">
        <v>21</v>
      </c>
      <c r="B6" s="146">
        <v>20</v>
      </c>
      <c r="C6" s="147">
        <f t="shared" ref="C6:C13" si="2">D6+E6</f>
        <v>206.645</v>
      </c>
      <c r="D6" s="146">
        <v>0</v>
      </c>
      <c r="E6" s="146">
        <v>206.645</v>
      </c>
      <c r="F6" s="147">
        <f>G6+H6</f>
        <v>0</v>
      </c>
      <c r="G6" s="146">
        <v>0</v>
      </c>
      <c r="H6" s="146">
        <f>计算表!K4</f>
        <v>0</v>
      </c>
      <c r="I6" s="147">
        <v>0</v>
      </c>
      <c r="J6" s="148">
        <f t="shared" si="1"/>
        <v>0</v>
      </c>
      <c r="K6" s="147">
        <v>58.294</v>
      </c>
      <c r="L6" s="148" t="e">
        <f>K6/F6</f>
        <v>#DIV/0!</v>
      </c>
      <c r="M6" s="149">
        <f>计算表!O4</f>
        <v>54</v>
      </c>
      <c r="N6" s="145">
        <f>计算表!P4</f>
        <v>100</v>
      </c>
      <c r="O6" s="147">
        <v>0</v>
      </c>
      <c r="P6" s="145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s="100" customFormat="1" ht="34" customHeight="1" spans="1:27">
      <c r="A7" s="145" t="s">
        <v>22</v>
      </c>
      <c r="B7" s="146">
        <v>0</v>
      </c>
      <c r="C7" s="147">
        <f t="shared" si="2"/>
        <v>262</v>
      </c>
      <c r="D7" s="146">
        <v>262</v>
      </c>
      <c r="E7" s="146">
        <v>0</v>
      </c>
      <c r="F7" s="147">
        <f t="shared" ref="F7:F13" si="3">G7+H7</f>
        <v>153.649</v>
      </c>
      <c r="G7" s="146">
        <v>153.649</v>
      </c>
      <c r="H7" s="146">
        <f>计算表!K5</f>
        <v>0</v>
      </c>
      <c r="I7" s="147">
        <f t="shared" ref="I7:I13" si="4">F7-C7</f>
        <v>-108.351</v>
      </c>
      <c r="J7" s="148">
        <f t="shared" si="1"/>
        <v>0.586446564885496</v>
      </c>
      <c r="K7" s="147">
        <v>262</v>
      </c>
      <c r="L7" s="148">
        <f t="shared" ref="L5:L13" si="5">K7/C7</f>
        <v>1</v>
      </c>
      <c r="M7" s="149">
        <f>计算表!O5</f>
        <v>1288</v>
      </c>
      <c r="N7" s="145">
        <f>计算表!P5</f>
        <v>1455</v>
      </c>
      <c r="O7" s="147">
        <v>0</v>
      </c>
      <c r="P7" s="145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s="100" customFormat="1" ht="34" customHeight="1" spans="1:27">
      <c r="A8" s="145" t="s">
        <v>23</v>
      </c>
      <c r="B8" s="146">
        <v>0</v>
      </c>
      <c r="C8" s="147">
        <f t="shared" si="2"/>
        <v>415</v>
      </c>
      <c r="D8" s="146">
        <v>415</v>
      </c>
      <c r="E8" s="146">
        <v>0</v>
      </c>
      <c r="F8" s="147">
        <f t="shared" si="3"/>
        <v>341.501</v>
      </c>
      <c r="G8" s="146">
        <v>341.501</v>
      </c>
      <c r="H8" s="146">
        <f>计算表!K6</f>
        <v>0</v>
      </c>
      <c r="I8" s="147">
        <f t="shared" si="4"/>
        <v>-73.499</v>
      </c>
      <c r="J8" s="148">
        <f t="shared" si="1"/>
        <v>0.822893975903614</v>
      </c>
      <c r="K8" s="147">
        <v>415</v>
      </c>
      <c r="L8" s="148">
        <f t="shared" si="5"/>
        <v>1</v>
      </c>
      <c r="M8" s="149">
        <f>计算表!O6</f>
        <v>444</v>
      </c>
      <c r="N8" s="145">
        <f>计算表!P6</f>
        <v>625</v>
      </c>
      <c r="O8" s="147">
        <v>0</v>
      </c>
      <c r="P8" s="145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s="100" customFormat="1" ht="34" customHeight="1" spans="1:27">
      <c r="A9" s="145" t="s">
        <v>24</v>
      </c>
      <c r="B9" s="146">
        <v>0</v>
      </c>
      <c r="C9" s="147">
        <f t="shared" si="2"/>
        <v>181</v>
      </c>
      <c r="D9" s="146">
        <v>181</v>
      </c>
      <c r="E9" s="146">
        <v>0</v>
      </c>
      <c r="F9" s="147">
        <f t="shared" si="3"/>
        <v>148.102</v>
      </c>
      <c r="G9" s="146">
        <v>148.102</v>
      </c>
      <c r="H9" s="146">
        <f>计算表!K7</f>
        <v>0</v>
      </c>
      <c r="I9" s="147">
        <f t="shared" si="4"/>
        <v>-32.898</v>
      </c>
      <c r="J9" s="148">
        <f t="shared" si="1"/>
        <v>0.818243093922652</v>
      </c>
      <c r="K9" s="147">
        <v>181</v>
      </c>
      <c r="L9" s="148">
        <f t="shared" si="5"/>
        <v>1</v>
      </c>
      <c r="M9" s="149">
        <f>计算表!O7</f>
        <v>549</v>
      </c>
      <c r="N9" s="145">
        <f>计算表!P7</f>
        <v>597</v>
      </c>
      <c r="O9" s="147">
        <v>0</v>
      </c>
      <c r="P9" s="145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s="100" customFormat="1" ht="34" customHeight="1" spans="1:27">
      <c r="A10" s="145" t="s">
        <v>25</v>
      </c>
      <c r="B10" s="146">
        <v>0</v>
      </c>
      <c r="C10" s="147">
        <f t="shared" si="2"/>
        <v>78</v>
      </c>
      <c r="D10" s="146">
        <v>78</v>
      </c>
      <c r="E10" s="146">
        <v>0</v>
      </c>
      <c r="F10" s="147">
        <f t="shared" si="3"/>
        <v>39.115</v>
      </c>
      <c r="G10" s="146">
        <v>39.115</v>
      </c>
      <c r="H10" s="146">
        <f>计算表!K8</f>
        <v>0</v>
      </c>
      <c r="I10" s="147">
        <f t="shared" si="4"/>
        <v>-38.885</v>
      </c>
      <c r="J10" s="148">
        <f t="shared" si="1"/>
        <v>0.501474358974359</v>
      </c>
      <c r="K10" s="147">
        <v>78</v>
      </c>
      <c r="L10" s="148">
        <f t="shared" si="5"/>
        <v>1</v>
      </c>
      <c r="M10" s="149">
        <f>计算表!O8</f>
        <v>427</v>
      </c>
      <c r="N10" s="145">
        <f>计算表!P8</f>
        <v>553</v>
      </c>
      <c r="O10" s="147">
        <v>16.937</v>
      </c>
      <c r="P10" s="145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s="100" customFormat="1" ht="34" customHeight="1" spans="1:27">
      <c r="A11" s="145" t="s">
        <v>26</v>
      </c>
      <c r="B11" s="146">
        <v>0</v>
      </c>
      <c r="C11" s="147">
        <f t="shared" si="2"/>
        <v>169</v>
      </c>
      <c r="D11" s="146">
        <v>169</v>
      </c>
      <c r="E11" s="146">
        <v>0</v>
      </c>
      <c r="F11" s="147">
        <f t="shared" si="3"/>
        <v>109.787</v>
      </c>
      <c r="G11" s="146">
        <v>109.787</v>
      </c>
      <c r="H11" s="146">
        <f>计算表!K9</f>
        <v>0</v>
      </c>
      <c r="I11" s="147">
        <f t="shared" si="4"/>
        <v>-59.213</v>
      </c>
      <c r="J11" s="148">
        <f t="shared" si="1"/>
        <v>0.649627218934911</v>
      </c>
      <c r="K11" s="147">
        <v>169</v>
      </c>
      <c r="L11" s="148">
        <f t="shared" si="5"/>
        <v>1</v>
      </c>
      <c r="M11" s="149">
        <f>计算表!O9</f>
        <v>626</v>
      </c>
      <c r="N11" s="145">
        <f>计算表!P9</f>
        <v>693</v>
      </c>
      <c r="O11" s="147">
        <v>0</v>
      </c>
      <c r="P11" s="145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s="100" customFormat="1" ht="34" customHeight="1" spans="1:27">
      <c r="A12" s="145" t="s">
        <v>27</v>
      </c>
      <c r="B12" s="146">
        <v>0</v>
      </c>
      <c r="C12" s="147">
        <f t="shared" si="2"/>
        <v>144.027</v>
      </c>
      <c r="D12" s="146">
        <v>0</v>
      </c>
      <c r="E12" s="146">
        <v>144.027</v>
      </c>
      <c r="F12" s="147">
        <f t="shared" si="3"/>
        <v>0</v>
      </c>
      <c r="G12" s="146">
        <v>0</v>
      </c>
      <c r="H12" s="146">
        <f>计算表!K10</f>
        <v>0</v>
      </c>
      <c r="I12" s="147">
        <f t="shared" si="4"/>
        <v>-144.027</v>
      </c>
      <c r="J12" s="148">
        <f t="shared" si="1"/>
        <v>0</v>
      </c>
      <c r="K12" s="147">
        <v>144.027</v>
      </c>
      <c r="L12" s="148">
        <f t="shared" si="5"/>
        <v>1</v>
      </c>
      <c r="M12" s="149">
        <f>计算表!O10</f>
        <v>2354</v>
      </c>
      <c r="N12" s="145">
        <f>计算表!P10</f>
        <v>2787</v>
      </c>
      <c r="O12" s="147">
        <v>0</v>
      </c>
      <c r="P12" s="145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s="100" customFormat="1" ht="34" customHeight="1" spans="1:27">
      <c r="A13" s="145" t="s">
        <v>28</v>
      </c>
      <c r="B13" s="146">
        <v>39.6114</v>
      </c>
      <c r="C13" s="147">
        <f t="shared" si="2"/>
        <v>45.699</v>
      </c>
      <c r="D13" s="146">
        <v>6</v>
      </c>
      <c r="E13" s="146">
        <v>39.699</v>
      </c>
      <c r="F13" s="147">
        <f t="shared" si="3"/>
        <v>0</v>
      </c>
      <c r="G13" s="146">
        <v>0</v>
      </c>
      <c r="H13" s="146">
        <f>计算表!K11</f>
        <v>0</v>
      </c>
      <c r="I13" s="147">
        <f t="shared" si="4"/>
        <v>-45.699</v>
      </c>
      <c r="J13" s="148">
        <f t="shared" si="1"/>
        <v>0</v>
      </c>
      <c r="K13" s="147">
        <v>45.699</v>
      </c>
      <c r="L13" s="148">
        <f t="shared" si="5"/>
        <v>1</v>
      </c>
      <c r="M13" s="149">
        <f>计算表!O11</f>
        <v>460</v>
      </c>
      <c r="N13" s="145">
        <f>计算表!P11</f>
        <v>590</v>
      </c>
      <c r="O13" s="147">
        <v>0</v>
      </c>
      <c r="P13" s="145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s="23" customFormat="1" ht="58" customHeight="1" spans="1:27">
      <c r="A14" s="150" t="s">
        <v>29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</sheetData>
  <mergeCells count="16">
    <mergeCell ref="A1:O1"/>
    <mergeCell ref="H2:K2"/>
    <mergeCell ref="L2:O2"/>
    <mergeCell ref="C3:E3"/>
    <mergeCell ref="F3:H3"/>
    <mergeCell ref="A14:O14"/>
    <mergeCell ref="A3:A4"/>
    <mergeCell ref="B3:B4"/>
    <mergeCell ref="I3:I4"/>
    <mergeCell ref="J3:J4"/>
    <mergeCell ref="K3:K4"/>
    <mergeCell ref="L3:L4"/>
    <mergeCell ref="M3:M4"/>
    <mergeCell ref="N3:N4"/>
    <mergeCell ref="O3:O4"/>
    <mergeCell ref="P3:P4"/>
  </mergeCells>
  <pageMargins left="0.75" right="0.75" top="1" bottom="1" header="0.5" footer="0.5"/>
  <pageSetup paperSize="9" orientation="landscape"/>
  <headerFooter/>
  <ignoredErrors>
    <ignoredError sqref="J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W27"/>
  <sheetViews>
    <sheetView workbookViewId="0">
      <selection activeCell="B21" sqref="B21"/>
    </sheetView>
  </sheetViews>
  <sheetFormatPr defaultColWidth="9.14285714285714" defaultRowHeight="12.75"/>
  <cols>
    <col min="2" max="2" width="9.56190476190476"/>
    <col min="5" max="5" width="9.56190476190476"/>
    <col min="14" max="14" width="9.56190476190476"/>
    <col min="16" max="17" width="15.6952380952381"/>
    <col min="18" max="18" width="9.56190476190476"/>
    <col min="21" max="21" width="10.5619047619048"/>
  </cols>
  <sheetData>
    <row r="1" spans="1:23">
      <c r="P1" s="110">
        <v>45341</v>
      </c>
      <c r="Q1" s="110"/>
    </row>
    <row r="2" spans="1:23">
      <c r="A2" s="111" t="s">
        <v>2</v>
      </c>
      <c r="B2" s="111" t="s">
        <v>30</v>
      </c>
      <c r="C2" s="111"/>
      <c r="D2" s="111"/>
      <c r="E2" s="112" t="s">
        <v>31</v>
      </c>
      <c r="F2" s="112"/>
      <c r="G2" s="112"/>
      <c r="H2" s="113" t="s">
        <v>32</v>
      </c>
      <c r="I2" s="114"/>
      <c r="J2" s="115"/>
      <c r="K2" s="112" t="s">
        <v>33</v>
      </c>
      <c r="L2" s="112"/>
      <c r="M2" s="112"/>
      <c r="N2" s="111" t="s">
        <v>34</v>
      </c>
      <c r="O2" s="111"/>
      <c r="P2" s="111"/>
      <c r="Q2" s="116" t="s">
        <v>35</v>
      </c>
      <c r="R2" s="117" t="s">
        <v>36</v>
      </c>
      <c r="S2" s="118"/>
      <c r="T2" s="118"/>
      <c r="U2" s="117" t="s">
        <v>37</v>
      </c>
      <c r="V2" s="117"/>
      <c r="W2" s="117"/>
    </row>
    <row r="3" spans="1:23">
      <c r="A3" s="111"/>
      <c r="B3" s="111" t="s">
        <v>20</v>
      </c>
      <c r="C3" s="111" t="s">
        <v>38</v>
      </c>
      <c r="D3" s="111" t="s">
        <v>39</v>
      </c>
      <c r="E3" s="111" t="s">
        <v>40</v>
      </c>
      <c r="F3" s="111" t="s">
        <v>41</v>
      </c>
      <c r="G3" s="111" t="s">
        <v>42</v>
      </c>
      <c r="H3" s="111" t="s">
        <v>40</v>
      </c>
      <c r="I3" s="111" t="s">
        <v>41</v>
      </c>
      <c r="J3" s="111" t="s">
        <v>42</v>
      </c>
      <c r="K3" s="111" t="s">
        <v>40</v>
      </c>
      <c r="L3" s="111" t="s">
        <v>41</v>
      </c>
      <c r="M3" s="111" t="s">
        <v>42</v>
      </c>
      <c r="N3" s="111" t="s">
        <v>40</v>
      </c>
      <c r="O3" s="111" t="s">
        <v>41</v>
      </c>
      <c r="P3" s="111" t="s">
        <v>42</v>
      </c>
      <c r="Q3" s="119"/>
      <c r="R3" s="111" t="s">
        <v>40</v>
      </c>
      <c r="S3" s="111" t="s">
        <v>41</v>
      </c>
      <c r="T3" s="111" t="s">
        <v>42</v>
      </c>
      <c r="U3" s="111" t="s">
        <v>40</v>
      </c>
      <c r="V3" s="111" t="s">
        <v>41</v>
      </c>
      <c r="W3" s="111" t="s">
        <v>42</v>
      </c>
    </row>
    <row r="4" spans="1:23">
      <c r="A4" s="111" t="s">
        <v>21</v>
      </c>
      <c r="B4" s="111">
        <f>C4+D4</f>
        <v>148.351</v>
      </c>
      <c r="C4" s="111">
        <v>148.351</v>
      </c>
      <c r="D4" s="111">
        <v>0</v>
      </c>
      <c r="E4" s="120">
        <v>0</v>
      </c>
      <c r="F4" s="120">
        <v>0</v>
      </c>
      <c r="G4" s="120">
        <v>0</v>
      </c>
      <c r="H4" s="120">
        <v>67.763</v>
      </c>
      <c r="I4" s="120">
        <v>54</v>
      </c>
      <c r="J4" s="120">
        <v>100</v>
      </c>
      <c r="K4" s="121">
        <v>0</v>
      </c>
      <c r="L4" s="121">
        <v>0</v>
      </c>
      <c r="M4" s="121">
        <v>0</v>
      </c>
      <c r="N4" s="120">
        <f>E4+H4+K4</f>
        <v>67.763</v>
      </c>
      <c r="O4" s="120">
        <f>F4+I4+L4</f>
        <v>54</v>
      </c>
      <c r="P4" s="120">
        <f>G4+J4+M4</f>
        <v>100</v>
      </c>
      <c r="Q4" s="120">
        <f>B4-N4</f>
        <v>80.588</v>
      </c>
      <c r="R4" s="118">
        <v>109.798</v>
      </c>
      <c r="S4" s="118">
        <v>93</v>
      </c>
      <c r="T4" s="118">
        <v>177</v>
      </c>
      <c r="U4" s="118">
        <f>N4-R4</f>
        <v>-42.035</v>
      </c>
      <c r="V4" s="120"/>
      <c r="W4" s="120"/>
    </row>
    <row r="5" spans="1:23">
      <c r="A5" s="120" t="s">
        <v>22</v>
      </c>
      <c r="B5" s="111">
        <f t="shared" ref="B5:B11" si="0">C5+D5</f>
        <v>227</v>
      </c>
      <c r="C5" s="111">
        <v>0</v>
      </c>
      <c r="D5" s="120">
        <v>227</v>
      </c>
      <c r="E5" s="120">
        <v>262.029</v>
      </c>
      <c r="F5" s="120">
        <v>1288</v>
      </c>
      <c r="G5" s="120">
        <v>1455</v>
      </c>
      <c r="H5" s="120">
        <v>0</v>
      </c>
      <c r="I5" s="120">
        <v>0</v>
      </c>
      <c r="J5" s="120">
        <v>0</v>
      </c>
      <c r="K5" s="121">
        <v>0</v>
      </c>
      <c r="L5" s="121">
        <v>0</v>
      </c>
      <c r="M5" s="121">
        <v>0</v>
      </c>
      <c r="N5" s="120">
        <f t="shared" ref="N5:N11" si="1">E5+H5+K5</f>
        <v>262.029</v>
      </c>
      <c r="O5" s="120">
        <f t="shared" ref="O5:O11" si="2">F5+I5+L5</f>
        <v>1288</v>
      </c>
      <c r="P5" s="120">
        <f t="shared" ref="P5:P11" si="3">G5+J5+M5</f>
        <v>1455</v>
      </c>
      <c r="Q5" s="120">
        <f t="shared" ref="Q5:Q11" si="4">B5-N5</f>
        <v>-35.029</v>
      </c>
      <c r="R5" s="118">
        <v>492.964</v>
      </c>
      <c r="S5" s="118">
        <v>2001</v>
      </c>
      <c r="T5" s="118">
        <v>2367</v>
      </c>
      <c r="U5" s="118">
        <f t="shared" ref="U5:U11" si="5">N5-R5</f>
        <v>-230.935</v>
      </c>
      <c r="V5" s="120"/>
      <c r="W5" s="120"/>
    </row>
    <row r="6" spans="1:23">
      <c r="A6" s="120" t="s">
        <v>23</v>
      </c>
      <c r="B6" s="111">
        <f t="shared" si="0"/>
        <v>236</v>
      </c>
      <c r="C6" s="111">
        <v>0</v>
      </c>
      <c r="D6" s="120">
        <v>236</v>
      </c>
      <c r="E6" s="120">
        <v>287.551</v>
      </c>
      <c r="F6" s="120">
        <v>444</v>
      </c>
      <c r="G6" s="120">
        <v>625</v>
      </c>
      <c r="H6" s="120">
        <v>0</v>
      </c>
      <c r="I6" s="120">
        <v>0</v>
      </c>
      <c r="J6" s="120">
        <v>0</v>
      </c>
      <c r="K6" s="121">
        <v>0</v>
      </c>
      <c r="L6" s="121">
        <v>0</v>
      </c>
      <c r="M6" s="121">
        <v>0</v>
      </c>
      <c r="N6" s="120">
        <f t="shared" si="1"/>
        <v>287.551</v>
      </c>
      <c r="O6" s="120">
        <f t="shared" si="2"/>
        <v>444</v>
      </c>
      <c r="P6" s="120">
        <f t="shared" si="3"/>
        <v>625</v>
      </c>
      <c r="Q6" s="120">
        <f t="shared" si="4"/>
        <v>-51.551</v>
      </c>
      <c r="R6" s="118">
        <v>704.058</v>
      </c>
      <c r="S6" s="118">
        <v>1132</v>
      </c>
      <c r="T6" s="118">
        <v>1709</v>
      </c>
      <c r="U6" s="118">
        <f t="shared" si="5"/>
        <v>-416.507</v>
      </c>
      <c r="V6" s="120"/>
      <c r="W6" s="120"/>
    </row>
    <row r="7" spans="1:23">
      <c r="A7" s="120" t="s">
        <v>24</v>
      </c>
      <c r="B7" s="111">
        <f t="shared" si="0"/>
        <v>93</v>
      </c>
      <c r="C7" s="111">
        <v>0</v>
      </c>
      <c r="D7" s="120">
        <v>93</v>
      </c>
      <c r="E7" s="120">
        <v>102.205</v>
      </c>
      <c r="F7" s="120">
        <v>549</v>
      </c>
      <c r="G7" s="120">
        <v>597</v>
      </c>
      <c r="H7" s="120">
        <v>0</v>
      </c>
      <c r="I7" s="120">
        <v>0</v>
      </c>
      <c r="J7" s="120">
        <v>0</v>
      </c>
      <c r="K7" s="121">
        <v>0</v>
      </c>
      <c r="L7" s="121">
        <v>0</v>
      </c>
      <c r="M7" s="121">
        <v>0</v>
      </c>
      <c r="N7" s="120">
        <f t="shared" si="1"/>
        <v>102.205</v>
      </c>
      <c r="O7" s="120">
        <f t="shared" si="2"/>
        <v>549</v>
      </c>
      <c r="P7" s="120">
        <f t="shared" si="3"/>
        <v>597</v>
      </c>
      <c r="Q7" s="120">
        <f t="shared" si="4"/>
        <v>-9.205</v>
      </c>
      <c r="R7" s="118">
        <v>277.686</v>
      </c>
      <c r="S7" s="118">
        <v>986</v>
      </c>
      <c r="T7" s="118">
        <v>1223</v>
      </c>
      <c r="U7" s="118">
        <f t="shared" si="5"/>
        <v>-175.481</v>
      </c>
      <c r="V7" s="120"/>
      <c r="W7" s="120"/>
    </row>
    <row r="8" spans="1:23">
      <c r="A8" s="120" t="s">
        <v>25</v>
      </c>
      <c r="B8" s="111">
        <f t="shared" si="0"/>
        <v>132</v>
      </c>
      <c r="C8" s="111">
        <v>0</v>
      </c>
      <c r="D8" s="120">
        <v>132</v>
      </c>
      <c r="E8" s="120">
        <v>173.385</v>
      </c>
      <c r="F8" s="120">
        <v>427</v>
      </c>
      <c r="G8" s="120">
        <v>553</v>
      </c>
      <c r="H8" s="120">
        <v>0</v>
      </c>
      <c r="I8" s="120">
        <v>0</v>
      </c>
      <c r="J8" s="120">
        <v>0</v>
      </c>
      <c r="K8" s="121">
        <v>0</v>
      </c>
      <c r="L8" s="121">
        <v>0</v>
      </c>
      <c r="M8" s="121">
        <v>0</v>
      </c>
      <c r="N8" s="120">
        <f t="shared" si="1"/>
        <v>173.385</v>
      </c>
      <c r="O8" s="120">
        <f t="shared" si="2"/>
        <v>427</v>
      </c>
      <c r="P8" s="120">
        <f t="shared" si="3"/>
        <v>553</v>
      </c>
      <c r="Q8" s="120">
        <f t="shared" si="4"/>
        <v>-41.385</v>
      </c>
      <c r="R8" s="118">
        <v>232.319</v>
      </c>
      <c r="S8" s="118">
        <v>644</v>
      </c>
      <c r="T8" s="118">
        <v>824</v>
      </c>
      <c r="U8" s="118">
        <f t="shared" si="5"/>
        <v>-58.934</v>
      </c>
      <c r="V8" s="120"/>
      <c r="W8" s="120"/>
    </row>
    <row r="9" spans="1:23">
      <c r="A9" s="120" t="s">
        <v>26</v>
      </c>
      <c r="B9" s="111">
        <f t="shared" si="0"/>
        <v>167</v>
      </c>
      <c r="C9" s="111">
        <v>0</v>
      </c>
      <c r="D9" s="120">
        <v>167</v>
      </c>
      <c r="E9" s="120">
        <v>183.811</v>
      </c>
      <c r="F9" s="120">
        <v>626</v>
      </c>
      <c r="G9" s="120">
        <v>693</v>
      </c>
      <c r="H9" s="120">
        <v>0</v>
      </c>
      <c r="I9" s="120">
        <v>0</v>
      </c>
      <c r="J9" s="120">
        <v>0</v>
      </c>
      <c r="K9" s="121">
        <v>0</v>
      </c>
      <c r="L9" s="121">
        <v>0</v>
      </c>
      <c r="M9" s="121">
        <v>0</v>
      </c>
      <c r="N9" s="120">
        <f t="shared" si="1"/>
        <v>183.811</v>
      </c>
      <c r="O9" s="120">
        <f t="shared" si="2"/>
        <v>626</v>
      </c>
      <c r="P9" s="120">
        <f t="shared" si="3"/>
        <v>693</v>
      </c>
      <c r="Q9" s="120">
        <f t="shared" si="4"/>
        <v>-16.811</v>
      </c>
      <c r="R9" s="118">
        <v>335.866</v>
      </c>
      <c r="S9" s="118">
        <v>1023</v>
      </c>
      <c r="T9" s="118">
        <v>1194</v>
      </c>
      <c r="U9" s="118">
        <f t="shared" si="5"/>
        <v>-152.055</v>
      </c>
      <c r="V9" s="120"/>
      <c r="W9" s="120"/>
    </row>
    <row r="10" spans="1:23">
      <c r="A10" s="120" t="s">
        <v>27</v>
      </c>
      <c r="B10" s="111">
        <f t="shared" si="0"/>
        <v>162</v>
      </c>
      <c r="C10" s="111">
        <v>0</v>
      </c>
      <c r="D10" s="120">
        <v>162</v>
      </c>
      <c r="E10" s="120">
        <v>684.813</v>
      </c>
      <c r="F10" s="120">
        <v>2354</v>
      </c>
      <c r="G10" s="120">
        <v>2787</v>
      </c>
      <c r="H10" s="120">
        <v>0</v>
      </c>
      <c r="I10" s="120">
        <v>0</v>
      </c>
      <c r="J10" s="120">
        <v>0</v>
      </c>
      <c r="K10" s="121">
        <v>0</v>
      </c>
      <c r="L10" s="121">
        <v>0</v>
      </c>
      <c r="M10" s="121">
        <v>0</v>
      </c>
      <c r="N10" s="120">
        <f t="shared" si="1"/>
        <v>684.813</v>
      </c>
      <c r="O10" s="120">
        <f t="shared" si="2"/>
        <v>2354</v>
      </c>
      <c r="P10" s="120">
        <f t="shared" si="3"/>
        <v>2787</v>
      </c>
      <c r="Q10" s="120">
        <f t="shared" si="4"/>
        <v>-522.813</v>
      </c>
      <c r="R10" s="118">
        <v>773.256</v>
      </c>
      <c r="S10" s="118">
        <v>2504</v>
      </c>
      <c r="T10" s="118">
        <v>3052</v>
      </c>
      <c r="U10" s="118">
        <f t="shared" si="5"/>
        <v>-88.443</v>
      </c>
      <c r="V10" s="120"/>
      <c r="W10" s="120"/>
    </row>
    <row r="11" spans="1:23">
      <c r="A11" s="120" t="s">
        <v>28</v>
      </c>
      <c r="B11" s="111">
        <f t="shared" si="0"/>
        <v>141</v>
      </c>
      <c r="C11" s="111">
        <v>0</v>
      </c>
      <c r="D11" s="120">
        <v>141</v>
      </c>
      <c r="E11" s="120">
        <v>166.479</v>
      </c>
      <c r="F11" s="120">
        <v>460</v>
      </c>
      <c r="G11" s="120">
        <v>590</v>
      </c>
      <c r="H11" s="120">
        <v>0</v>
      </c>
      <c r="I11" s="120">
        <v>0</v>
      </c>
      <c r="J11" s="120">
        <v>0</v>
      </c>
      <c r="K11" s="121">
        <v>0</v>
      </c>
      <c r="L11" s="121">
        <v>0</v>
      </c>
      <c r="M11" s="121">
        <v>0</v>
      </c>
      <c r="N11" s="120">
        <f t="shared" si="1"/>
        <v>166.479</v>
      </c>
      <c r="O11" s="120">
        <f t="shared" si="2"/>
        <v>460</v>
      </c>
      <c r="P11" s="120">
        <f t="shared" si="3"/>
        <v>590</v>
      </c>
      <c r="Q11" s="120">
        <f t="shared" si="4"/>
        <v>-25.479</v>
      </c>
      <c r="R11" s="118">
        <v>212.168</v>
      </c>
      <c r="S11" s="118">
        <v>632</v>
      </c>
      <c r="T11" s="118">
        <v>816</v>
      </c>
      <c r="U11" s="118">
        <f t="shared" si="5"/>
        <v>-45.689</v>
      </c>
      <c r="V11" s="120"/>
      <c r="W11" s="120"/>
    </row>
    <row r="12" spans="1:23">
      <c r="A12" s="111" t="s">
        <v>20</v>
      </c>
      <c r="B12" s="120">
        <f t="shared" ref="B12:J12" si="6">SUM(B4:B11)</f>
        <v>1306.351</v>
      </c>
      <c r="C12" s="120">
        <f t="shared" si="6"/>
        <v>148.351</v>
      </c>
      <c r="D12" s="120">
        <f t="shared" si="6"/>
        <v>1158</v>
      </c>
      <c r="E12" s="120">
        <f t="shared" si="6"/>
        <v>1860.273</v>
      </c>
      <c r="F12" s="120">
        <f t="shared" si="6"/>
        <v>6148</v>
      </c>
      <c r="G12" s="120">
        <f t="shared" si="6"/>
        <v>7300</v>
      </c>
      <c r="H12" s="120">
        <f t="shared" si="6"/>
        <v>67.763</v>
      </c>
      <c r="I12" s="120">
        <f t="shared" si="6"/>
        <v>54</v>
      </c>
      <c r="J12" s="120">
        <f t="shared" si="6"/>
        <v>100</v>
      </c>
      <c r="K12" s="120">
        <f t="shared" ref="K12:V12" si="7">SUM(K4:K11)</f>
        <v>0</v>
      </c>
      <c r="L12" s="120">
        <f t="shared" si="7"/>
        <v>0</v>
      </c>
      <c r="M12" s="120">
        <f t="shared" si="7"/>
        <v>0</v>
      </c>
      <c r="N12" s="120">
        <f t="shared" si="7"/>
        <v>1928.036</v>
      </c>
      <c r="O12" s="120">
        <f t="shared" si="7"/>
        <v>6202</v>
      </c>
      <c r="P12" s="120">
        <f t="shared" si="7"/>
        <v>7400</v>
      </c>
      <c r="Q12" s="120">
        <f>SUM(Q5:Q11)</f>
        <v>-702.273</v>
      </c>
      <c r="R12" s="118">
        <f t="shared" ref="R12:W12" si="8">SUM(R4:R11)</f>
        <v>3138.115</v>
      </c>
      <c r="S12" s="118">
        <f t="shared" si="8"/>
        <v>9015</v>
      </c>
      <c r="T12" s="118">
        <f t="shared" si="8"/>
        <v>11362</v>
      </c>
      <c r="U12" s="118">
        <f t="shared" si="8"/>
        <v>-1210.079</v>
      </c>
      <c r="V12" s="120">
        <f t="shared" si="8"/>
        <v>0</v>
      </c>
      <c r="W12" s="120">
        <f t="shared" si="8"/>
        <v>0</v>
      </c>
    </row>
    <row r="13" ht="24" spans="1:23">
      <c r="Q13" s="122" t="s">
        <v>43</v>
      </c>
    </row>
    <row r="14" spans="1:23">
      <c r="Q14" s="122"/>
    </row>
    <row r="15" spans="1:23">
      <c r="A15" s="123"/>
      <c r="B15" s="124" t="s">
        <v>44</v>
      </c>
      <c r="C15" s="124"/>
      <c r="D15" s="124"/>
      <c r="E15" s="123" t="s">
        <v>45</v>
      </c>
      <c r="F15" s="123"/>
      <c r="G15" s="123"/>
      <c r="H15" s="124" t="s">
        <v>46</v>
      </c>
      <c r="I15" s="124"/>
      <c r="J15" s="124"/>
    </row>
    <row r="16" spans="1:23">
      <c r="A16" s="111"/>
      <c r="B16" s="111" t="s">
        <v>47</v>
      </c>
      <c r="C16" s="111" t="s">
        <v>41</v>
      </c>
      <c r="D16" s="111" t="s">
        <v>42</v>
      </c>
      <c r="E16" s="111" t="s">
        <v>40</v>
      </c>
      <c r="F16" s="111" t="s">
        <v>41</v>
      </c>
      <c r="G16" s="111" t="s">
        <v>42</v>
      </c>
      <c r="H16" s="111" t="s">
        <v>40</v>
      </c>
      <c r="I16" s="111" t="s">
        <v>41</v>
      </c>
      <c r="J16" s="111" t="s">
        <v>42</v>
      </c>
    </row>
    <row r="17" spans="1:10">
      <c r="A17" s="111" t="s">
        <v>21</v>
      </c>
      <c r="B17" s="118">
        <v>55.394</v>
      </c>
      <c r="C17" s="118">
        <v>46</v>
      </c>
      <c r="D17" s="118">
        <v>96</v>
      </c>
      <c r="E17" s="125">
        <v>123.157</v>
      </c>
      <c r="F17" s="125">
        <v>100</v>
      </c>
      <c r="G17" s="125">
        <v>196</v>
      </c>
      <c r="H17" s="120">
        <f>E17-B17</f>
        <v>67.763</v>
      </c>
      <c r="I17" s="120">
        <f>F17-C17</f>
        <v>54</v>
      </c>
      <c r="J17" s="120">
        <f>G17-D17</f>
        <v>100</v>
      </c>
    </row>
    <row r="18" spans="1:10">
      <c r="A18" s="120" t="s">
        <v>22</v>
      </c>
      <c r="B18" s="118">
        <v>107.28</v>
      </c>
      <c r="C18" s="118">
        <v>297</v>
      </c>
      <c r="D18" s="118">
        <v>401</v>
      </c>
      <c r="E18" s="125">
        <v>369.309</v>
      </c>
      <c r="F18" s="125">
        <v>1585</v>
      </c>
      <c r="G18" s="125">
        <v>1856</v>
      </c>
      <c r="H18" s="120">
        <f t="shared" ref="H18:H24" si="9">E18-B18</f>
        <v>262.029</v>
      </c>
      <c r="I18" s="120">
        <f t="shared" ref="I18:I24" si="10">F18-C18</f>
        <v>1288</v>
      </c>
      <c r="J18" s="120">
        <f t="shared" ref="J18:J24" si="11">G18-D18</f>
        <v>1455</v>
      </c>
    </row>
    <row r="19" spans="1:10">
      <c r="A19" s="120" t="s">
        <v>23</v>
      </c>
      <c r="B19" s="118">
        <v>72.869</v>
      </c>
      <c r="C19" s="118">
        <v>167</v>
      </c>
      <c r="D19" s="118">
        <v>260</v>
      </c>
      <c r="E19" s="125">
        <v>360.42</v>
      </c>
      <c r="F19" s="125">
        <v>611</v>
      </c>
      <c r="G19" s="125">
        <v>885</v>
      </c>
      <c r="H19" s="120">
        <f t="shared" si="9"/>
        <v>287.551</v>
      </c>
      <c r="I19" s="120">
        <f t="shared" si="10"/>
        <v>444</v>
      </c>
      <c r="J19" s="120">
        <f t="shared" si="11"/>
        <v>625</v>
      </c>
    </row>
    <row r="20" spans="1:10">
      <c r="A20" s="120" t="s">
        <v>24</v>
      </c>
      <c r="B20" s="118">
        <v>33.062</v>
      </c>
      <c r="C20" s="118">
        <v>141</v>
      </c>
      <c r="D20" s="118">
        <v>193</v>
      </c>
      <c r="E20" s="125">
        <v>135.267</v>
      </c>
      <c r="F20" s="125">
        <v>690</v>
      </c>
      <c r="G20" s="125">
        <v>790</v>
      </c>
      <c r="H20" s="120">
        <f t="shared" si="9"/>
        <v>102.205</v>
      </c>
      <c r="I20" s="120">
        <f t="shared" si="10"/>
        <v>549</v>
      </c>
      <c r="J20" s="120">
        <f t="shared" si="11"/>
        <v>597</v>
      </c>
    </row>
    <row r="21" spans="1:10">
      <c r="A21" s="120" t="s">
        <v>25</v>
      </c>
      <c r="B21" s="118">
        <v>38.246</v>
      </c>
      <c r="C21" s="118">
        <v>131</v>
      </c>
      <c r="D21" s="118">
        <v>160</v>
      </c>
      <c r="E21" s="125">
        <v>211.631</v>
      </c>
      <c r="F21" s="125">
        <v>558</v>
      </c>
      <c r="G21" s="125">
        <v>713</v>
      </c>
      <c r="H21" s="120">
        <f t="shared" si="9"/>
        <v>173.385</v>
      </c>
      <c r="I21" s="120">
        <f t="shared" si="10"/>
        <v>427</v>
      </c>
      <c r="J21" s="120">
        <f t="shared" si="11"/>
        <v>553</v>
      </c>
    </row>
    <row r="22" spans="1:10">
      <c r="A22" s="120" t="s">
        <v>26</v>
      </c>
      <c r="B22" s="118">
        <v>57.391</v>
      </c>
      <c r="C22" s="118">
        <v>134</v>
      </c>
      <c r="D22" s="118">
        <v>194</v>
      </c>
      <c r="E22" s="125">
        <v>241.202</v>
      </c>
      <c r="F22" s="125">
        <v>760</v>
      </c>
      <c r="G22" s="125">
        <v>887</v>
      </c>
      <c r="H22" s="120">
        <f t="shared" si="9"/>
        <v>183.811</v>
      </c>
      <c r="I22" s="120">
        <f t="shared" si="10"/>
        <v>626</v>
      </c>
      <c r="J22" s="120">
        <f t="shared" si="11"/>
        <v>693</v>
      </c>
    </row>
    <row r="23" spans="1:10">
      <c r="A23" s="120" t="s">
        <v>27</v>
      </c>
      <c r="B23" s="118">
        <v>143.931</v>
      </c>
      <c r="C23" s="118">
        <v>374</v>
      </c>
      <c r="D23" s="118">
        <v>514</v>
      </c>
      <c r="E23" s="125">
        <v>828.744</v>
      </c>
      <c r="F23" s="125">
        <v>2728</v>
      </c>
      <c r="G23" s="125">
        <v>3301</v>
      </c>
      <c r="H23" s="120">
        <f t="shared" si="9"/>
        <v>684.813</v>
      </c>
      <c r="I23" s="120">
        <f t="shared" si="10"/>
        <v>2354</v>
      </c>
      <c r="J23" s="120">
        <f t="shared" si="11"/>
        <v>2787</v>
      </c>
    </row>
    <row r="24" spans="1:10">
      <c r="A24" s="120" t="s">
        <v>28</v>
      </c>
      <c r="B24" s="118">
        <v>45.689</v>
      </c>
      <c r="C24" s="118">
        <v>172</v>
      </c>
      <c r="D24" s="118">
        <v>226</v>
      </c>
      <c r="E24" s="125">
        <v>212.168</v>
      </c>
      <c r="F24" s="125">
        <v>632</v>
      </c>
      <c r="G24" s="125">
        <v>816</v>
      </c>
      <c r="H24" s="120">
        <f t="shared" si="9"/>
        <v>166.479</v>
      </c>
      <c r="I24" s="120">
        <f t="shared" si="10"/>
        <v>460</v>
      </c>
      <c r="J24" s="120">
        <f t="shared" si="11"/>
        <v>590</v>
      </c>
    </row>
    <row r="27" spans="1:10">
      <c r="H27" s="126"/>
      <c r="I27" s="126"/>
    </row>
  </sheetData>
  <mergeCells count="12">
    <mergeCell ref="B2:D2"/>
    <mergeCell ref="E2:G2"/>
    <mergeCell ref="H2:J2"/>
    <mergeCell ref="K2:M2"/>
    <mergeCell ref="N2:P2"/>
    <mergeCell ref="R2:T2"/>
    <mergeCell ref="U2:W2"/>
    <mergeCell ref="B15:D15"/>
    <mergeCell ref="E15:G15"/>
    <mergeCell ref="H15:J15"/>
    <mergeCell ref="A2:A3"/>
    <mergeCell ref="Q2:Q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14" sqref="J14"/>
    </sheetView>
  </sheetViews>
  <sheetFormatPr defaultColWidth="9.14285714285714" defaultRowHeight="12.75" outlineLevelCol="6"/>
  <cols>
    <col min="1" max="1" width="17.5619047619048" customWidth="1"/>
    <col min="3" max="4" width="14.1428571428571" customWidth="1"/>
    <col min="5" max="5" width="12.2857142857143" customWidth="1"/>
    <col min="6" max="7" width="14.1428571428571" customWidth="1"/>
  </cols>
  <sheetData>
    <row r="1" ht="25.5" spans="1:7">
      <c r="A1" s="107" t="s">
        <v>48</v>
      </c>
      <c r="B1" s="107"/>
      <c r="C1" s="107"/>
      <c r="D1" s="107"/>
      <c r="E1" s="107"/>
      <c r="F1" s="107"/>
      <c r="G1" s="107"/>
    </row>
    <row r="2" ht="25.5" spans="1:7">
      <c r="A2" s="108" t="s">
        <v>2</v>
      </c>
      <c r="B2" s="108" t="s">
        <v>49</v>
      </c>
      <c r="C2" s="108"/>
      <c r="D2" s="108"/>
      <c r="E2" s="108" t="s">
        <v>50</v>
      </c>
      <c r="F2" s="108"/>
      <c r="G2" s="108"/>
    </row>
    <row r="3" ht="25.5" spans="1:7">
      <c r="A3" s="108"/>
      <c r="B3" s="108" t="s">
        <v>47</v>
      </c>
      <c r="C3" s="108" t="s">
        <v>51</v>
      </c>
      <c r="D3" s="108" t="s">
        <v>52</v>
      </c>
      <c r="E3" s="108" t="s">
        <v>47</v>
      </c>
      <c r="F3" s="108" t="s">
        <v>51</v>
      </c>
      <c r="G3" s="108" t="s">
        <v>52</v>
      </c>
    </row>
    <row r="4" ht="25.5" spans="1:7">
      <c r="A4" s="109" t="s">
        <v>21</v>
      </c>
      <c r="B4" s="108">
        <v>0</v>
      </c>
      <c r="C4" s="108">
        <v>0</v>
      </c>
      <c r="D4" s="108">
        <f t="shared" ref="D4:D11" si="0">B4-C4</f>
        <v>0</v>
      </c>
      <c r="E4" s="108">
        <v>2.9</v>
      </c>
      <c r="F4" s="108">
        <v>1.45</v>
      </c>
      <c r="G4" s="108">
        <f t="shared" ref="G4:G11" si="1">E4-F4</f>
        <v>1.45</v>
      </c>
    </row>
    <row r="5" ht="25.5" spans="1:7">
      <c r="A5" s="109" t="s">
        <v>22</v>
      </c>
      <c r="B5" s="108">
        <v>1.1</v>
      </c>
      <c r="C5" s="108">
        <v>1</v>
      </c>
      <c r="D5" s="108">
        <f t="shared" si="0"/>
        <v>0.1</v>
      </c>
      <c r="E5" s="108">
        <v>1.7</v>
      </c>
      <c r="F5" s="108">
        <v>0</v>
      </c>
      <c r="G5" s="108">
        <f t="shared" si="1"/>
        <v>1.7</v>
      </c>
    </row>
    <row r="6" ht="25.5" spans="1:7">
      <c r="A6" s="109" t="s">
        <v>23</v>
      </c>
      <c r="B6" s="108">
        <v>0.3</v>
      </c>
      <c r="C6" s="108">
        <v>0</v>
      </c>
      <c r="D6" s="108">
        <f t="shared" si="0"/>
        <v>0.3</v>
      </c>
      <c r="E6" s="108">
        <v>2</v>
      </c>
      <c r="F6" s="108">
        <v>0.35</v>
      </c>
      <c r="G6" s="108">
        <f t="shared" si="1"/>
        <v>1.65</v>
      </c>
    </row>
    <row r="7" ht="25.5" spans="1:7">
      <c r="A7" s="109" t="s">
        <v>24</v>
      </c>
      <c r="B7" s="108">
        <v>0.1</v>
      </c>
      <c r="C7" s="108">
        <v>0.1</v>
      </c>
      <c r="D7" s="108">
        <f t="shared" si="0"/>
        <v>0</v>
      </c>
      <c r="E7" s="108">
        <v>2.21</v>
      </c>
      <c r="F7" s="108">
        <v>0</v>
      </c>
      <c r="G7" s="108">
        <f t="shared" si="1"/>
        <v>2.21</v>
      </c>
    </row>
    <row r="8" ht="25.5" spans="1:7">
      <c r="A8" s="109" t="s">
        <v>25</v>
      </c>
      <c r="B8" s="108">
        <v>0</v>
      </c>
      <c r="C8" s="108">
        <v>0</v>
      </c>
      <c r="D8" s="108">
        <f t="shared" si="0"/>
        <v>0</v>
      </c>
      <c r="E8" s="108">
        <v>0.1</v>
      </c>
      <c r="F8" s="108">
        <v>0</v>
      </c>
      <c r="G8" s="108">
        <f t="shared" si="1"/>
        <v>0.1</v>
      </c>
    </row>
    <row r="9" ht="25.5" spans="1:7">
      <c r="A9" s="109" t="s">
        <v>26</v>
      </c>
      <c r="B9" s="108">
        <v>1.25</v>
      </c>
      <c r="C9" s="108">
        <v>1.25</v>
      </c>
      <c r="D9" s="108">
        <f t="shared" si="0"/>
        <v>0</v>
      </c>
      <c r="E9" s="108">
        <v>1.05</v>
      </c>
      <c r="F9" s="108">
        <v>1.05</v>
      </c>
      <c r="G9" s="108">
        <f t="shared" si="1"/>
        <v>0</v>
      </c>
    </row>
    <row r="10" ht="25.5" spans="1:7">
      <c r="A10" s="109" t="s">
        <v>27</v>
      </c>
      <c r="B10" s="108">
        <v>0</v>
      </c>
      <c r="C10" s="108">
        <v>0</v>
      </c>
      <c r="D10" s="108">
        <f t="shared" si="0"/>
        <v>0</v>
      </c>
      <c r="E10" s="108">
        <v>0</v>
      </c>
      <c r="F10" s="108">
        <v>0</v>
      </c>
      <c r="G10" s="108">
        <f t="shared" si="1"/>
        <v>0</v>
      </c>
    </row>
    <row r="11" ht="25.5" spans="1:7">
      <c r="A11" s="109" t="s">
        <v>28</v>
      </c>
      <c r="B11" s="108">
        <v>0</v>
      </c>
      <c r="C11" s="108">
        <v>0</v>
      </c>
      <c r="D11" s="108">
        <f t="shared" si="0"/>
        <v>0</v>
      </c>
      <c r="E11" s="108">
        <v>1.25</v>
      </c>
      <c r="F11" s="108">
        <v>0</v>
      </c>
      <c r="G11" s="108">
        <f t="shared" si="1"/>
        <v>1.25</v>
      </c>
    </row>
    <row r="12" ht="25.5" spans="1:7">
      <c r="A12" s="108" t="s">
        <v>20</v>
      </c>
      <c r="B12" s="108">
        <f t="shared" ref="B12:G12" si="2">SUM(B4:B11)</f>
        <v>2.75</v>
      </c>
      <c r="C12" s="108">
        <f t="shared" si="2"/>
        <v>2.35</v>
      </c>
      <c r="D12" s="108">
        <f t="shared" si="2"/>
        <v>0.4</v>
      </c>
      <c r="E12" s="108">
        <f t="shared" si="2"/>
        <v>11.21</v>
      </c>
      <c r="F12" s="108">
        <f t="shared" si="2"/>
        <v>2.85</v>
      </c>
      <c r="G12" s="108">
        <f t="shared" si="2"/>
        <v>8.36</v>
      </c>
    </row>
  </sheetData>
  <mergeCells count="4">
    <mergeCell ref="A1:G1"/>
    <mergeCell ref="B2:D2"/>
    <mergeCell ref="E2:G2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W5" sqref="W5"/>
    </sheetView>
  </sheetViews>
  <sheetFormatPr defaultColWidth="9" defaultRowHeight="12.75"/>
  <cols>
    <col min="3" max="3" width="6.87619047619048" customWidth="1"/>
    <col min="4" max="4" width="4.68571428571429" customWidth="1"/>
    <col min="5" max="5" width="7.97142857142857" customWidth="1"/>
    <col min="7" max="7" width="9.81904761904762" customWidth="1"/>
    <col min="9" max="9" width="9.07619047619048" customWidth="1"/>
    <col min="10" max="10" width="10.0761904761905" customWidth="1"/>
    <col min="11" max="11" width="7.75238095238095" customWidth="1"/>
    <col min="12" max="14" width="7.12380952380952" customWidth="1"/>
    <col min="15" max="15" width="8.15238095238095" customWidth="1"/>
    <col min="16" max="17" width="7.75238095238095" customWidth="1"/>
  </cols>
  <sheetData>
    <row r="1" ht="53" customHeight="1" spans="1:17">
      <c r="A1" s="104" t="s">
        <v>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ht="33.75" spans="1:17">
      <c r="A2" s="22"/>
      <c r="B2" s="22"/>
      <c r="C2" s="22"/>
      <c r="D2" s="22"/>
      <c r="E2" s="22"/>
      <c r="F2" s="22"/>
      <c r="G2" s="22"/>
      <c r="H2" s="105" t="s">
        <v>1</v>
      </c>
      <c r="I2" s="105"/>
      <c r="J2" s="105"/>
      <c r="K2" s="105"/>
      <c r="L2" s="105"/>
      <c r="M2" s="105"/>
      <c r="N2" s="106" t="s">
        <v>54</v>
      </c>
      <c r="O2" s="106"/>
      <c r="P2" s="106"/>
      <c r="Q2" s="23"/>
    </row>
    <row r="3" ht="23" customHeight="1" spans="1:17">
      <c r="A3" s="26" t="s">
        <v>2</v>
      </c>
      <c r="B3" s="27" t="s">
        <v>55</v>
      </c>
      <c r="C3" s="27"/>
      <c r="D3" s="27"/>
      <c r="E3" s="27"/>
      <c r="F3" s="27" t="s">
        <v>56</v>
      </c>
      <c r="G3" s="27"/>
      <c r="H3" s="27"/>
      <c r="I3" s="28" t="s">
        <v>57</v>
      </c>
      <c r="J3" s="26" t="s">
        <v>51</v>
      </c>
      <c r="K3" s="26" t="s">
        <v>58</v>
      </c>
      <c r="L3" s="28" t="s">
        <v>59</v>
      </c>
      <c r="M3" s="29" t="s">
        <v>57</v>
      </c>
      <c r="N3" s="29" t="s">
        <v>51</v>
      </c>
      <c r="O3" s="29" t="s">
        <v>58</v>
      </c>
      <c r="P3" s="26" t="s">
        <v>60</v>
      </c>
      <c r="Q3" s="26" t="s">
        <v>61</v>
      </c>
    </row>
    <row r="4" ht="23" customHeight="1" spans="1:17">
      <c r="A4" s="30"/>
      <c r="B4" s="31" t="s">
        <v>20</v>
      </c>
      <c r="C4" s="32" t="s">
        <v>62</v>
      </c>
      <c r="D4" s="32" t="s">
        <v>63</v>
      </c>
      <c r="E4" s="32" t="s">
        <v>64</v>
      </c>
      <c r="F4" s="32" t="s">
        <v>20</v>
      </c>
      <c r="G4" s="32" t="s">
        <v>65</v>
      </c>
      <c r="H4" s="32" t="s">
        <v>66</v>
      </c>
      <c r="I4" s="33"/>
      <c r="J4" s="30"/>
      <c r="K4" s="30"/>
      <c r="L4" s="33"/>
      <c r="M4" s="29"/>
      <c r="N4" s="29"/>
      <c r="O4" s="29"/>
      <c r="P4" s="30"/>
      <c r="Q4" s="30"/>
    </row>
    <row r="5" ht="54" customHeight="1" spans="1:17">
      <c r="A5" s="34"/>
      <c r="B5" s="31"/>
      <c r="C5" s="35"/>
      <c r="D5" s="35"/>
      <c r="E5" s="35"/>
      <c r="F5" s="33"/>
      <c r="G5" s="33"/>
      <c r="H5" s="33"/>
      <c r="I5" s="35"/>
      <c r="J5" s="34"/>
      <c r="K5" s="34"/>
      <c r="L5" s="35"/>
      <c r="M5" s="29"/>
      <c r="N5" s="29"/>
      <c r="O5" s="29"/>
      <c r="P5" s="34"/>
      <c r="Q5" s="34"/>
    </row>
    <row r="6" ht="42" customHeight="1" spans="1:17">
      <c r="A6" s="36" t="s">
        <v>20</v>
      </c>
      <c r="B6" s="37">
        <f t="shared" ref="B6:H6" si="0">SUM(B7:B14)</f>
        <v>3540.821</v>
      </c>
      <c r="C6" s="37">
        <v>3303</v>
      </c>
      <c r="D6" s="37">
        <f t="shared" si="0"/>
        <v>225</v>
      </c>
      <c r="E6" s="37">
        <f t="shared" si="0"/>
        <v>12.821</v>
      </c>
      <c r="F6" s="37">
        <f t="shared" si="0"/>
        <v>3051.577</v>
      </c>
      <c r="G6" s="37">
        <f t="shared" si="0"/>
        <v>1372.781</v>
      </c>
      <c r="H6" s="37">
        <f t="shared" si="0"/>
        <v>1678.796</v>
      </c>
      <c r="I6" s="38">
        <f t="shared" ref="I6:I14" si="1">F6/C6</f>
        <v>0.923880411746897</v>
      </c>
      <c r="J6" s="39">
        <f>SUM(J7:J14)</f>
        <v>2897.236</v>
      </c>
      <c r="K6" s="40">
        <f t="shared" ref="K6:K9" si="2">J6/F6</f>
        <v>0.949422544474545</v>
      </c>
      <c r="L6" s="37">
        <f>SUM(L7:L14)</f>
        <v>72.781</v>
      </c>
      <c r="M6" s="40">
        <f>L6/D6</f>
        <v>0.323471111111111</v>
      </c>
      <c r="N6" s="37">
        <f>N8+N9+N11+N12+N13+N14</f>
        <v>56.004</v>
      </c>
      <c r="O6" s="41">
        <f t="shared" ref="O6:O9" si="3">N6/L6</f>
        <v>0.769486541817232</v>
      </c>
      <c r="P6" s="37">
        <f>SUM(P7:P14)</f>
        <v>7770</v>
      </c>
      <c r="Q6" s="37">
        <f>SUM(Q7:Q14)</f>
        <v>10133</v>
      </c>
    </row>
    <row r="7" ht="42" customHeight="1" spans="1:17">
      <c r="A7" s="37" t="s">
        <v>21</v>
      </c>
      <c r="B7" s="37">
        <f t="shared" ref="B7:B14" si="4">C7+D7+E7</f>
        <v>92.821</v>
      </c>
      <c r="C7" s="37">
        <v>80</v>
      </c>
      <c r="D7" s="37">
        <v>0</v>
      </c>
      <c r="E7" s="37">
        <v>12.821</v>
      </c>
      <c r="F7" s="37">
        <f t="shared" ref="F7:F14" si="5">G7+H7</f>
        <v>26.511</v>
      </c>
      <c r="G7" s="37">
        <v>0</v>
      </c>
      <c r="H7" s="37">
        <v>26.511</v>
      </c>
      <c r="I7" s="38">
        <f t="shared" si="1"/>
        <v>0.3313875</v>
      </c>
      <c r="J7" s="37">
        <v>26.322</v>
      </c>
      <c r="K7" s="40">
        <f t="shared" si="2"/>
        <v>0.99287088378409</v>
      </c>
      <c r="L7" s="37" t="s">
        <v>67</v>
      </c>
      <c r="M7" s="42" t="s">
        <v>67</v>
      </c>
      <c r="N7" s="37" t="s">
        <v>67</v>
      </c>
      <c r="O7" s="37" t="s">
        <v>67</v>
      </c>
      <c r="P7" s="37">
        <f>'每周进度表（系统数据）底表'!P7</f>
        <v>40</v>
      </c>
      <c r="Q7" s="37">
        <f>'每周进度表（系统数据）底表'!Q7</f>
        <v>59</v>
      </c>
    </row>
    <row r="8" ht="42" customHeight="1" spans="1:17">
      <c r="A8" s="37" t="s">
        <v>22</v>
      </c>
      <c r="B8" s="37">
        <f t="shared" si="4"/>
        <v>489</v>
      </c>
      <c r="C8" s="37">
        <v>416</v>
      </c>
      <c r="D8" s="37">
        <v>73</v>
      </c>
      <c r="E8" s="37">
        <v>0</v>
      </c>
      <c r="F8" s="37">
        <f t="shared" si="5"/>
        <v>330.718</v>
      </c>
      <c r="G8" s="37">
        <v>155.554</v>
      </c>
      <c r="H8" s="37">
        <v>175.164</v>
      </c>
      <c r="I8" s="38">
        <f t="shared" si="1"/>
        <v>0.794995192307692</v>
      </c>
      <c r="J8" s="37">
        <f>209.99+25.928+53.853+39.888</f>
        <v>329.659</v>
      </c>
      <c r="K8" s="40">
        <f t="shared" si="2"/>
        <v>0.996797876136164</v>
      </c>
      <c r="L8" s="37">
        <v>22.988</v>
      </c>
      <c r="M8" s="40">
        <f t="shared" ref="M8:M12" si="6">L8/D8*100%</f>
        <v>0.314904109589041</v>
      </c>
      <c r="N8" s="37">
        <v>22.988</v>
      </c>
      <c r="O8" s="41">
        <f t="shared" si="3"/>
        <v>1</v>
      </c>
      <c r="P8" s="37">
        <f>'每周进度表（系统数据）底表'!P8+Sheet1!M6</f>
        <v>1477</v>
      </c>
      <c r="Q8" s="37">
        <f>'每周进度表（系统数据）底表'!Q8+Sheet1!N6</f>
        <v>1795</v>
      </c>
    </row>
    <row r="9" ht="42" customHeight="1" spans="1:17">
      <c r="A9" s="44" t="s">
        <v>23</v>
      </c>
      <c r="B9" s="44">
        <f t="shared" si="4"/>
        <v>604</v>
      </c>
      <c r="C9" s="44">
        <v>573</v>
      </c>
      <c r="D9" s="44">
        <v>31</v>
      </c>
      <c r="E9" s="44">
        <v>0</v>
      </c>
      <c r="F9" s="44">
        <f t="shared" si="5"/>
        <v>544.777</v>
      </c>
      <c r="G9" s="44">
        <v>248.155</v>
      </c>
      <c r="H9" s="44">
        <v>296.622</v>
      </c>
      <c r="I9" s="45">
        <f t="shared" si="1"/>
        <v>0.95074520069808</v>
      </c>
      <c r="J9" s="44">
        <v>486.975</v>
      </c>
      <c r="K9" s="46">
        <f t="shared" si="2"/>
        <v>0.893897870137689</v>
      </c>
      <c r="L9" s="44">
        <v>30.818</v>
      </c>
      <c r="M9" s="46">
        <f t="shared" si="6"/>
        <v>0.994129032258065</v>
      </c>
      <c r="N9" s="44">
        <v>30.14</v>
      </c>
      <c r="O9" s="47">
        <f t="shared" si="3"/>
        <v>0.977999870205724</v>
      </c>
      <c r="P9" s="37">
        <f>'每周进度表（系统数据）底表'!P9+Sheet1!M7</f>
        <v>1126</v>
      </c>
      <c r="Q9" s="37">
        <f>'每周进度表（系统数据）底表'!Q9+Sheet1!N7</f>
        <v>1714</v>
      </c>
    </row>
    <row r="10" ht="42" customHeight="1" spans="1:17">
      <c r="A10" s="37" t="s">
        <v>24</v>
      </c>
      <c r="B10" s="37">
        <f t="shared" si="4"/>
        <v>161</v>
      </c>
      <c r="C10" s="37">
        <v>161</v>
      </c>
      <c r="D10" s="37">
        <v>0</v>
      </c>
      <c r="E10" s="37">
        <v>0</v>
      </c>
      <c r="F10" s="48">
        <f t="shared" si="5"/>
        <v>163.427</v>
      </c>
      <c r="G10" s="37">
        <v>68.728</v>
      </c>
      <c r="H10" s="37">
        <v>94.699</v>
      </c>
      <c r="I10" s="38">
        <f t="shared" si="1"/>
        <v>1.01507453416149</v>
      </c>
      <c r="J10" s="37">
        <v>161</v>
      </c>
      <c r="K10" s="40">
        <v>1</v>
      </c>
      <c r="L10" s="37" t="s">
        <v>67</v>
      </c>
      <c r="M10" s="40" t="s">
        <v>67</v>
      </c>
      <c r="N10" s="37" t="s">
        <v>67</v>
      </c>
      <c r="O10" s="37" t="s">
        <v>67</v>
      </c>
      <c r="P10" s="37">
        <f>'每周进度表（系统数据）底表'!P10+Sheet1!M8</f>
        <v>906</v>
      </c>
      <c r="Q10" s="37">
        <f>'每周进度表（系统数据）底表'!Q10+Sheet1!N8</f>
        <v>1035</v>
      </c>
    </row>
    <row r="11" ht="42" customHeight="1" spans="1:17">
      <c r="A11" s="37" t="s">
        <v>25</v>
      </c>
      <c r="B11" s="37">
        <f t="shared" si="4"/>
        <v>317</v>
      </c>
      <c r="C11" s="37">
        <v>302</v>
      </c>
      <c r="D11" s="37">
        <v>15</v>
      </c>
      <c r="E11" s="37">
        <v>0</v>
      </c>
      <c r="F11" s="37">
        <f t="shared" si="5"/>
        <v>253.599</v>
      </c>
      <c r="G11" s="37">
        <v>138.904</v>
      </c>
      <c r="H11" s="37">
        <v>114.695</v>
      </c>
      <c r="I11" s="38">
        <f t="shared" si="1"/>
        <v>0.83973178807947</v>
      </c>
      <c r="J11" s="37">
        <v>255.339</v>
      </c>
      <c r="K11" s="40">
        <f t="shared" ref="K11:K14" si="7">J11/F11</f>
        <v>1.00686122579348</v>
      </c>
      <c r="L11" s="37">
        <v>0</v>
      </c>
      <c r="M11" s="49">
        <v>0</v>
      </c>
      <c r="N11" s="37">
        <v>0</v>
      </c>
      <c r="O11" s="37">
        <v>0</v>
      </c>
      <c r="P11" s="37">
        <f>'每周进度表（系统数据）底表'!P11+Sheet1!M9</f>
        <v>605</v>
      </c>
      <c r="Q11" s="37">
        <f>'每周进度表（系统数据）底表'!Q11+Sheet1!N9</f>
        <v>798</v>
      </c>
    </row>
    <row r="12" ht="42" customHeight="1" spans="1:17">
      <c r="A12" s="44" t="s">
        <v>26</v>
      </c>
      <c r="B12" s="44">
        <f t="shared" si="4"/>
        <v>391</v>
      </c>
      <c r="C12" s="44">
        <v>372</v>
      </c>
      <c r="D12" s="44">
        <v>19</v>
      </c>
      <c r="E12" s="44">
        <v>0</v>
      </c>
      <c r="F12" s="50">
        <f t="shared" si="5"/>
        <v>371.987</v>
      </c>
      <c r="G12" s="51">
        <v>173.59</v>
      </c>
      <c r="H12" s="44">
        <v>198.397</v>
      </c>
      <c r="I12" s="45">
        <f t="shared" si="1"/>
        <v>0.999965053763441</v>
      </c>
      <c r="J12" s="44">
        <v>359.062</v>
      </c>
      <c r="K12" s="46">
        <f t="shared" si="7"/>
        <v>0.965254162107816</v>
      </c>
      <c r="L12" s="44">
        <v>18.975</v>
      </c>
      <c r="M12" s="46">
        <f t="shared" si="6"/>
        <v>0.998684210526316</v>
      </c>
      <c r="N12" s="44">
        <v>2.876</v>
      </c>
      <c r="O12" s="45">
        <f>N12/L12</f>
        <v>0.151567852437418</v>
      </c>
      <c r="P12" s="37">
        <f>'每周进度表（系统数据）底表'!P12+Sheet1!M10</f>
        <v>1283</v>
      </c>
      <c r="Q12" s="37">
        <f>'每周进度表（系统数据）底表'!Q12+Sheet1!N10</f>
        <v>1546</v>
      </c>
    </row>
    <row r="13" ht="42" customHeight="1" spans="1:17">
      <c r="A13" s="37" t="s">
        <v>27</v>
      </c>
      <c r="B13" s="37">
        <f t="shared" si="4"/>
        <v>1215</v>
      </c>
      <c r="C13" s="37">
        <v>1144</v>
      </c>
      <c r="D13" s="37">
        <v>71</v>
      </c>
      <c r="E13" s="37">
        <v>0</v>
      </c>
      <c r="F13" s="48">
        <f t="shared" si="5"/>
        <v>1143.895</v>
      </c>
      <c r="G13" s="37">
        <v>450.276</v>
      </c>
      <c r="H13" s="37">
        <v>693.619</v>
      </c>
      <c r="I13" s="38">
        <f t="shared" si="1"/>
        <v>0.999908216783217</v>
      </c>
      <c r="J13" s="37">
        <v>1081.392</v>
      </c>
      <c r="K13" s="40">
        <f t="shared" si="7"/>
        <v>0.945359495408232</v>
      </c>
      <c r="L13" s="37">
        <v>0</v>
      </c>
      <c r="M13" s="42">
        <v>0</v>
      </c>
      <c r="N13" s="37">
        <v>0</v>
      </c>
      <c r="O13" s="37">
        <v>0</v>
      </c>
      <c r="P13" s="37">
        <f>'每周进度表（系统数据）底表'!P13+Sheet1!M11</f>
        <v>1750</v>
      </c>
      <c r="Q13" s="37">
        <f>'每周进度表（系统数据）底表'!Q13+Sheet1!N11</f>
        <v>2435</v>
      </c>
    </row>
    <row r="14" ht="42" customHeight="1" spans="1:17">
      <c r="A14" s="52" t="s">
        <v>28</v>
      </c>
      <c r="B14" s="37">
        <f t="shared" si="4"/>
        <v>271</v>
      </c>
      <c r="C14" s="37">
        <v>255</v>
      </c>
      <c r="D14" s="52">
        <v>16</v>
      </c>
      <c r="E14" s="52">
        <v>0</v>
      </c>
      <c r="F14" s="37">
        <f t="shared" si="5"/>
        <v>216.663</v>
      </c>
      <c r="G14" s="52">
        <v>137.574</v>
      </c>
      <c r="H14" s="37">
        <v>79.089</v>
      </c>
      <c r="I14" s="38">
        <f t="shared" si="1"/>
        <v>0.849658823529412</v>
      </c>
      <c r="J14" s="53">
        <v>197.487</v>
      </c>
      <c r="K14" s="40">
        <f t="shared" si="7"/>
        <v>0.911493886819623</v>
      </c>
      <c r="L14" s="37">
        <v>0</v>
      </c>
      <c r="M14" s="42">
        <v>0</v>
      </c>
      <c r="N14" s="37">
        <v>0</v>
      </c>
      <c r="O14" s="37">
        <v>0</v>
      </c>
      <c r="P14" s="37">
        <f>'每周进度表（系统数据）底表'!P14+Sheet1!M12</f>
        <v>583</v>
      </c>
      <c r="Q14" s="37">
        <f>'每周进度表（系统数据）底表'!Q14+Sheet1!N12</f>
        <v>751</v>
      </c>
    </row>
  </sheetData>
  <mergeCells count="22">
    <mergeCell ref="A1:Q1"/>
    <mergeCell ref="H2:M2"/>
    <mergeCell ref="N2:P2"/>
    <mergeCell ref="B3:E3"/>
    <mergeCell ref="F3:H3"/>
    <mergeCell ref="A3:A5"/>
    <mergeCell ref="B4:B5"/>
    <mergeCell ref="C4:C5"/>
    <mergeCell ref="D4:D5"/>
    <mergeCell ref="E4:E5"/>
    <mergeCell ref="F4:F5"/>
    <mergeCell ref="G4:G5"/>
    <mergeCell ref="H4:H5"/>
    <mergeCell ref="I3:I5"/>
    <mergeCell ref="J3:J5"/>
    <mergeCell ref="K3:K5"/>
    <mergeCell ref="L3:L5"/>
    <mergeCell ref="M3:M5"/>
    <mergeCell ref="N3:N5"/>
    <mergeCell ref="O3:O5"/>
    <mergeCell ref="P3:P5"/>
    <mergeCell ref="Q3:Q5"/>
  </mergeCells>
  <conditionalFormatting sqref="O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{bfe6db3c-0e52-424c-8d1f-90230e048a28}</x14:id>
        </ext>
      </extLst>
    </cfRule>
    <cfRule type="dataBar" priority="4">
      <dataBar>
        <cfvo type="num" val="0"/>
        <cfvo type="num" val="0"/>
        <color theme="4" tint="0.4"/>
      </dataBar>
      <extLst>
        <ext xmlns:x14="http://schemas.microsoft.com/office/spreadsheetml/2009/9/main" uri="{B025F937-C7B1-47D3-B67F-A62EFF666E3E}">
          <x14:id>{9441747f-48b7-4637-b14c-f00ee045e357}</x14:id>
        </ext>
      </extLst>
    </cfRule>
    <cfRule type="dataBar" priority="3">
      <dataBar>
        <cfvo type="num" val="0.01"/>
        <cfvo type="num" val="1"/>
        <color rgb="FF638EC6"/>
      </dataBar>
      <extLst>
        <ext xmlns:x14="http://schemas.microsoft.com/office/spreadsheetml/2009/9/main" uri="{B025F937-C7B1-47D3-B67F-A62EFF666E3E}">
          <x14:id>{a75b3005-10f4-4591-9fae-1f6a3ca13b5d}</x14:id>
        </ext>
      </extLst>
    </cfRule>
  </conditionalFormatting>
  <conditionalFormatting sqref="I6:I14">
    <cfRule type="dataBar" priority="24">
      <dataBar>
        <cfvo type="num" val="0.01"/>
        <cfvo type="num" val="1"/>
        <color theme="4" tint="0.4"/>
      </dataBar>
      <extLst>
        <ext xmlns:x14="http://schemas.microsoft.com/office/spreadsheetml/2009/9/main" uri="{B025F937-C7B1-47D3-B67F-A62EFF666E3E}">
          <x14:id>{42809c88-e638-4308-976a-2e1cfa1fceab}</x14:id>
        </ext>
      </extLst>
    </cfRule>
    <cfRule type="dataBar" priority="22">
      <dataBar>
        <cfvo type="num" val="0"/>
        <cfvo type="num" val="1"/>
        <color theme="3" tint="0.4"/>
      </dataBar>
      <extLst>
        <ext xmlns:x14="http://schemas.microsoft.com/office/spreadsheetml/2009/9/main" uri="{B025F937-C7B1-47D3-B67F-A62EFF666E3E}">
          <x14:id>{c8010cdc-a54c-4ed8-9a97-0e02b6d9a183}</x14:id>
        </ext>
      </extLst>
    </cfRule>
    <cfRule type="dataBar" priority="20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{459d680a-fb06-4428-83da-0d5309c77bdf}</x14:id>
        </ext>
      </extLst>
    </cfRule>
    <cfRule type="dataBar" priority="19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{63ab4219-8a33-4c71-befa-443e754a7f8b}</x14:id>
        </ext>
      </extLst>
    </cfRule>
    <cfRule type="dataBar" priority="17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{1f0930cf-dc96-4b9a-a678-38eb3c45e477}</x14:id>
        </ext>
      </extLst>
    </cfRule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{8c97d0a4-9bb6-4eb2-8909-2ab55cc35c70}</x14:id>
        </ext>
      </extLst>
    </cfRule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{cadb7cdb-56e3-487b-bc2d-55f116702a38}</x14:id>
        </ext>
      </extLst>
    </cfRule>
    <cfRule type="dataBar" priority="11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{2b406fea-fe04-473c-898e-659d06a624f9}</x14:id>
        </ext>
      </extLst>
    </cfRule>
  </conditionalFormatting>
  <conditionalFormatting sqref="K3:K14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{b240d2fc-8f2f-4910-9eb1-6b386bb19618}</x14:id>
        </ext>
      </extLst>
    </cfRule>
    <cfRule type="dataBar" priority="27">
      <dataBar>
        <cfvo type="num" val="0"/>
        <cfvo type="num" val="0"/>
        <color theme="4" tint="0.4"/>
      </dataBar>
      <extLst>
        <ext xmlns:x14="http://schemas.microsoft.com/office/spreadsheetml/2009/9/main" uri="{B025F937-C7B1-47D3-B67F-A62EFF666E3E}">
          <x14:id>{581f1987-04a9-4d23-9713-da6638e3d825}</x14:id>
        </ext>
      </extLst>
    </cfRule>
    <cfRule type="dataBar" priority="26">
      <dataBar>
        <cfvo type="num" val="0.01"/>
        <cfvo type="num" val="1"/>
        <color rgb="FF638EC6"/>
      </dataBar>
      <extLst>
        <ext xmlns:x14="http://schemas.microsoft.com/office/spreadsheetml/2009/9/main" uri="{B025F937-C7B1-47D3-B67F-A62EFF666E3E}">
          <x14:id>{f5d038a5-5074-48d6-91e3-a154b9218eb9}</x14:id>
        </ext>
      </extLst>
    </cfRule>
  </conditionalFormatting>
  <conditionalFormatting sqref="K6:K14">
    <cfRule type="dataBar" priority="25">
      <dataBar>
        <cfvo type="num" val="0.01"/>
        <cfvo type="num" val="1"/>
        <color theme="4" tint="0.4"/>
      </dataBar>
      <extLst>
        <ext xmlns:x14="http://schemas.microsoft.com/office/spreadsheetml/2009/9/main" uri="{B025F937-C7B1-47D3-B67F-A62EFF666E3E}">
          <x14:id>{5aa2ba1b-16ee-40c7-a80b-f7d196c8689d}</x14:id>
        </ext>
      </extLst>
    </cfRule>
    <cfRule type="dataBar" priority="2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{8e5f5b3f-b496-40f1-a5cb-32efca69a2ee}</x14:id>
        </ext>
      </extLst>
    </cfRule>
    <cfRule type="dataBar" priority="21">
      <dataBar>
        <cfvo type="num" val="0"/>
        <cfvo type="num" val="1"/>
        <color theme="4" tint="0.4"/>
      </dataBar>
      <extLst>
        <ext xmlns:x14="http://schemas.microsoft.com/office/spreadsheetml/2009/9/main" uri="{B025F937-C7B1-47D3-B67F-A62EFF666E3E}">
          <x14:id>{43121350-df26-4c1d-ad6d-8a1dee883207}</x14:id>
        </ext>
      </extLst>
    </cfRule>
    <cfRule type="dataBar" priority="18">
      <dataBar>
        <cfvo type="min"/>
        <cfvo type="max"/>
        <color theme="5" tint="0.4"/>
      </dataBar>
      <extLst>
        <ext xmlns:x14="http://schemas.microsoft.com/office/spreadsheetml/2009/9/main" uri="{B025F937-C7B1-47D3-B67F-A62EFF666E3E}">
          <x14:id>{96ac9a92-5e53-4365-9092-7aa0b1907e1a}</x14:id>
        </ext>
      </extLst>
    </cfRule>
    <cfRule type="dataBar" priority="16">
      <dataBar>
        <cfvo type="min"/>
        <cfvo type="max"/>
        <color rgb="FFDE6940"/>
      </dataBar>
      <extLst>
        <ext xmlns:x14="http://schemas.microsoft.com/office/spreadsheetml/2009/9/main" uri="{B025F937-C7B1-47D3-B67F-A62EFF666E3E}">
          <x14:id>{4c3eee40-7a13-4a60-941b-b5c4e1554124}</x14:id>
        </ext>
      </extLst>
    </cfRule>
    <cfRule type="dataBar" priority="15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{c0d6a467-8793-4826-aafd-8c1ad5346efc}</x14:id>
        </ext>
      </extLst>
    </cfRule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{e4ae57a8-a3fe-48e4-b2fb-c0f6cda33400}</x14:id>
        </ext>
      </extLst>
    </cfRule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{9519039d-8ca1-4f6c-9ea2-5fb4eae4352b}</x14:id>
        </ext>
      </extLst>
    </cfRule>
    <cfRule type="dataBar" priority="9">
      <dataBar>
        <cfvo type="min"/>
        <cfvo type="max"/>
        <color theme="7" tint="0.4"/>
      </dataBar>
      <extLst>
        <ext xmlns:x14="http://schemas.microsoft.com/office/spreadsheetml/2009/9/main" uri="{B025F937-C7B1-47D3-B67F-A62EFF666E3E}">
          <x14:id>{9357deb7-9a19-4f77-8098-ba161a555066}</x14:id>
        </ext>
      </extLst>
    </cfRule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{fba6ab8e-7f5e-460e-80d9-b99908060111}</x14:id>
        </ext>
      </extLst>
    </cfRule>
  </conditionalFormatting>
  <conditionalFormatting sqref="M6:M14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{a5501af5-601d-4ed5-803d-7a2382ae0e3a}</x14:id>
        </ext>
      </extLst>
    </cfRule>
    <cfRule type="dataBar" priority="6">
      <dataBar>
        <cfvo type="min"/>
        <cfvo type="max"/>
        <color rgb="FF5FCA70"/>
      </dataBar>
      <extLst>
        <ext xmlns:x14="http://schemas.microsoft.com/office/spreadsheetml/2009/9/main" uri="{B025F937-C7B1-47D3-B67F-A62EFF666E3E}">
          <x14:id>{7251e582-2630-4424-a047-1ddacd44c5af}</x14:id>
        </ext>
      </extLst>
    </cfRule>
  </conditionalFormatting>
  <conditionalFormatting sqref="O6:O1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{48d8518f-6c7a-4d55-8190-2897c046493c}</x14:id>
        </ext>
      </extLst>
    </cfRule>
    <cfRule type="dataBar" priority="1">
      <dataBar>
        <cfvo type="min"/>
        <cfvo type="max"/>
        <color rgb="FFD157CA"/>
      </dataBar>
      <extLst>
        <ext xmlns:x14="http://schemas.microsoft.com/office/spreadsheetml/2009/9/main" uri="{B025F937-C7B1-47D3-B67F-A62EFF666E3E}">
          <x14:id>{8d4b9108-ecf8-4544-b5e6-d0a81e12f8c7}</x14:id>
        </ext>
      </extLst>
    </cfRule>
  </conditionalFormatting>
  <pageMargins left="0.590277777777778" right="0.275" top="0.156944444444444" bottom="0.196527777777778" header="0.275" footer="0.275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e6db3c-0e52-424c-8d1f-90230e048a2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9441747f-48b7-4637-b14c-f00ee045e357}">
            <x14:dataBar minLength="0" maxLength="100" negativeBarColorSameAsPositive="1" axisPosition="none">
              <x14:cfvo type="num">
                <xm:f>0</xm:f>
              </x14:cfvo>
              <x14:cfvo type="num">
                <xm:f>0</xm:f>
              </x14:cfvo>
              <x14:axisColor indexed="65"/>
            </x14:dataBar>
          </x14:cfRule>
          <x14:cfRule type="dataBar" id="{a75b3005-10f4-4591-9fae-1f6a3ca13b5d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m:sqref>O3</xm:sqref>
        </x14:conditionalFormatting>
        <x14:conditionalFormatting xmlns:xm="http://schemas.microsoft.com/office/excel/2006/main">
          <x14:cfRule type="dataBar" id="{42809c88-e638-4308-976a-2e1cfa1fceab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14:cfRule type="dataBar" id="{c8010cdc-a54c-4ed8-9a97-0e02b6d9a183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459d680a-fb06-4428-83da-0d5309c77bdf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63ab4219-8a33-4c71-befa-443e754a7f8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1f0930cf-dc96-4b9a-a678-38eb3c45e47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8c97d0a4-9bb6-4eb2-8909-2ab55cc35c7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cadb7cdb-56e3-487b-bc2d-55f116702a38}">
            <x14:dataBar minLength="0" maxLength="100" gradient="0" negativeBarColorSameAsPositive="1" axisPosition="none">
              <x14:cfvo type="min"/>
              <x14:cfvo type="max"/>
              <x14:axisColor indexed="65"/>
            </x14:dataBar>
          </x14:cfRule>
          <x14:cfRule type="dataBar" id="{2b406fea-fe04-473c-898e-659d06a624f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I6:I14</xm:sqref>
        </x14:conditionalFormatting>
        <x14:conditionalFormatting xmlns:xm="http://schemas.microsoft.com/office/excel/2006/main">
          <x14:cfRule type="dataBar" id="{b240d2fc-8f2f-4910-9eb1-6b386bb1961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581f1987-04a9-4d23-9713-da6638e3d825}">
            <x14:dataBar minLength="0" maxLength="100" negativeBarColorSameAsPositive="1" axisPosition="none">
              <x14:cfvo type="num">
                <xm:f>0</xm:f>
              </x14:cfvo>
              <x14:cfvo type="num">
                <xm:f>0</xm:f>
              </x14:cfvo>
              <x14:axisColor indexed="65"/>
            </x14:dataBar>
          </x14:cfRule>
          <x14:cfRule type="dataBar" id="{f5d038a5-5074-48d6-91e3-a154b9218eb9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m:sqref>K3:K14</xm:sqref>
        </x14:conditionalFormatting>
        <x14:conditionalFormatting xmlns:xm="http://schemas.microsoft.com/office/excel/2006/main">
          <x14:cfRule type="dataBar" id="{5aa2ba1b-16ee-40c7-a80b-f7d196c8689d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14:cfRule type="dataBar" id="{8e5f5b3f-b496-40f1-a5cb-32efca69a2ee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43121350-df26-4c1d-ad6d-8a1dee883207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96ac9a92-5e53-4365-9092-7aa0b1907e1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4c3eee40-7a13-4a60-941b-b5c4e155412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c0d6a467-8793-4826-aafd-8c1ad5346ef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e4ae57a8-a3fe-48e4-b2fb-c0f6cda3340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9519039d-8ca1-4f6c-9ea2-5fb4eae4352b}">
            <x14:dataBar minLength="0" maxLength="100" gradient="0" negativeBarColorSameAsPositive="1" axisPosition="none">
              <x14:cfvo type="min"/>
              <x14:cfvo type="max"/>
              <x14:axisColor indexed="65"/>
            </x14:dataBar>
          </x14:cfRule>
          <x14:cfRule type="dataBar" id="{9357deb7-9a19-4f77-8098-ba161a5550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ba6ab8e-7f5e-460e-80d9-b999080601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K6:K14</xm:sqref>
        </x14:conditionalFormatting>
        <x14:conditionalFormatting xmlns:xm="http://schemas.microsoft.com/office/excel/2006/main">
          <x14:cfRule type="dataBar" id="{a5501af5-601d-4ed5-803d-7a2382ae0e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251e582-2630-4424-a047-1ddacd44c5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M6:M14</xm:sqref>
        </x14:conditionalFormatting>
        <x14:conditionalFormatting xmlns:xm="http://schemas.microsoft.com/office/excel/2006/main">
          <x14:cfRule type="dataBar" id="{48d8518f-6c7a-4d55-8190-2897c046493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d4b9108-ecf8-4544-b5e6-d0a81e12f8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O6:O14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P7" sqref="P7:Q14"/>
    </sheetView>
  </sheetViews>
  <sheetFormatPr defaultColWidth="26.2857142857143" defaultRowHeight="12.75"/>
  <cols>
    <col min="1" max="1" width="8.39047619047619" customWidth="1"/>
    <col min="2" max="2" width="9.20952380952381" customWidth="1"/>
    <col min="3" max="3" width="7.51428571428571" customWidth="1"/>
    <col min="4" max="4" width="5.25714285714286" style="102" customWidth="1"/>
    <col min="5" max="5" width="7.87619047619048" style="103" customWidth="1"/>
    <col min="6" max="6" width="10.1809523809524" style="103" customWidth="1"/>
    <col min="7" max="7" width="9.37142857142857" style="103" customWidth="1"/>
    <col min="8" max="8" width="8.81904761904762" style="103" customWidth="1"/>
    <col min="9" max="9" width="8.37142857142857" style="103" customWidth="1"/>
    <col min="10" max="10" width="9.1047619047619" style="103" customWidth="1"/>
    <col min="11" max="11" width="9.33333333333333" style="103" customWidth="1"/>
    <col min="12" max="12" width="6.83809523809524" customWidth="1"/>
    <col min="13" max="13" width="7.62857142857143" customWidth="1"/>
    <col min="14" max="14" width="6.76190476190476" customWidth="1"/>
    <col min="15" max="15" width="7.37142857142857" customWidth="1"/>
    <col min="16" max="16" width="6.16190476190476" customWidth="1"/>
    <col min="17" max="17" width="6.54285714285714" customWidth="1"/>
  </cols>
  <sheetData>
    <row r="1" s="23" customFormat="1" ht="54" customHeight="1" spans="1:17">
      <c r="A1" s="22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="23" customFormat="1" ht="41" customHeight="1" spans="1:17">
      <c r="A2" s="22"/>
      <c r="B2" s="22"/>
      <c r="C2" s="22"/>
      <c r="D2" s="22"/>
      <c r="E2" s="22"/>
      <c r="F2" s="22"/>
      <c r="G2" s="22"/>
      <c r="H2" s="22"/>
      <c r="I2" s="22"/>
      <c r="J2" s="24"/>
      <c r="K2" s="25" t="s">
        <v>69</v>
      </c>
      <c r="L2" s="25"/>
      <c r="M2" s="25"/>
      <c r="N2" s="25" t="s">
        <v>54</v>
      </c>
      <c r="O2" s="25"/>
    </row>
    <row r="3" s="99" customFormat="1" ht="38" customHeight="1" spans="1:17">
      <c r="A3" s="26" t="s">
        <v>2</v>
      </c>
      <c r="B3" s="27" t="s">
        <v>55</v>
      </c>
      <c r="C3" s="27"/>
      <c r="D3" s="27"/>
      <c r="E3" s="27"/>
      <c r="F3" s="27" t="s">
        <v>56</v>
      </c>
      <c r="G3" s="27"/>
      <c r="H3" s="27"/>
      <c r="I3" s="28" t="s">
        <v>57</v>
      </c>
      <c r="J3" s="26" t="s">
        <v>51</v>
      </c>
      <c r="K3" s="26" t="s">
        <v>58</v>
      </c>
      <c r="L3" s="28" t="s">
        <v>59</v>
      </c>
      <c r="M3" s="29" t="s">
        <v>57</v>
      </c>
      <c r="N3" s="29" t="s">
        <v>51</v>
      </c>
      <c r="O3" s="29" t="s">
        <v>58</v>
      </c>
      <c r="P3" s="26" t="s">
        <v>70</v>
      </c>
      <c r="Q3" s="26" t="s">
        <v>71</v>
      </c>
    </row>
    <row r="4" s="100" customFormat="1" ht="36" customHeight="1" spans="1:17">
      <c r="A4" s="30"/>
      <c r="B4" s="31" t="s">
        <v>20</v>
      </c>
      <c r="C4" s="32" t="s">
        <v>62</v>
      </c>
      <c r="D4" s="32" t="s">
        <v>63</v>
      </c>
      <c r="E4" s="32" t="s">
        <v>64</v>
      </c>
      <c r="F4" s="32" t="s">
        <v>20</v>
      </c>
      <c r="G4" s="32" t="s">
        <v>65</v>
      </c>
      <c r="H4" s="32" t="s">
        <v>66</v>
      </c>
      <c r="I4" s="33"/>
      <c r="J4" s="30"/>
      <c r="K4" s="30"/>
      <c r="L4" s="33"/>
      <c r="M4" s="29"/>
      <c r="N4" s="29"/>
      <c r="O4" s="29"/>
      <c r="P4" s="30"/>
      <c r="Q4" s="30"/>
    </row>
    <row r="5" s="100" customFormat="1" ht="33" customHeight="1" spans="1:17">
      <c r="A5" s="34"/>
      <c r="B5" s="31"/>
      <c r="C5" s="35"/>
      <c r="D5" s="35"/>
      <c r="E5" s="35"/>
      <c r="F5" s="33"/>
      <c r="G5" s="33"/>
      <c r="H5" s="33"/>
      <c r="I5" s="35"/>
      <c r="J5" s="34"/>
      <c r="K5" s="34"/>
      <c r="L5" s="35"/>
      <c r="M5" s="29"/>
      <c r="N5" s="29"/>
      <c r="O5" s="29"/>
      <c r="P5" s="34"/>
      <c r="Q5" s="34"/>
    </row>
    <row r="6" s="100" customFormat="1" ht="36" customHeight="1" spans="1:17">
      <c r="A6" s="36" t="s">
        <v>20</v>
      </c>
      <c r="B6" s="37">
        <f>SUM(B7:B14)</f>
        <v>3540.821</v>
      </c>
      <c r="C6" s="37">
        <v>3303</v>
      </c>
      <c r="D6" s="37">
        <f>SUM(D7:D14)</f>
        <v>225</v>
      </c>
      <c r="E6" s="37">
        <f>SUM(E7:E14)</f>
        <v>12.821</v>
      </c>
      <c r="F6" s="37">
        <f>SUM(F7:F14)</f>
        <v>3051.577</v>
      </c>
      <c r="G6" s="37">
        <f>SUM(G7:G14)</f>
        <v>1372.781</v>
      </c>
      <c r="H6" s="37">
        <f>SUM(H7:H14)</f>
        <v>1678.796</v>
      </c>
      <c r="I6" s="38">
        <f>F6/C6</f>
        <v>0.923880411746897</v>
      </c>
      <c r="J6" s="39">
        <f>SUM(J7:J14)</f>
        <v>2896.336</v>
      </c>
      <c r="K6" s="40">
        <f>J6/F6</f>
        <v>0.949127615000375</v>
      </c>
      <c r="L6" s="37">
        <f t="shared" ref="L6:Q6" si="0">SUM(L7:L14)</f>
        <v>72.781</v>
      </c>
      <c r="M6" s="40">
        <f>L6/D6</f>
        <v>0.323471111111111</v>
      </c>
      <c r="N6" s="37">
        <f>N8+N9+N11+N12+N13+N14</f>
        <v>56.004</v>
      </c>
      <c r="O6" s="41">
        <f>N6/L6</f>
        <v>0.769486541817232</v>
      </c>
      <c r="P6" s="37">
        <f t="shared" si="0"/>
        <v>4780</v>
      </c>
      <c r="Q6" s="37">
        <f t="shared" si="0"/>
        <v>6051</v>
      </c>
    </row>
    <row r="7" s="100" customFormat="1" ht="36" customHeight="1" spans="1:17">
      <c r="A7" s="37" t="s">
        <v>21</v>
      </c>
      <c r="B7" s="37">
        <f>C7+D7+E7</f>
        <v>92.821</v>
      </c>
      <c r="C7" s="37">
        <v>80</v>
      </c>
      <c r="D7" s="37">
        <v>0</v>
      </c>
      <c r="E7" s="37">
        <v>12.821</v>
      </c>
      <c r="F7" s="37">
        <f>G7+H7</f>
        <v>26.511</v>
      </c>
      <c r="G7" s="37">
        <v>0</v>
      </c>
      <c r="H7" s="37">
        <v>26.511</v>
      </c>
      <c r="I7" s="38">
        <f>F7/C7</f>
        <v>0.3313875</v>
      </c>
      <c r="J7" s="37">
        <v>26.322</v>
      </c>
      <c r="K7" s="40">
        <f>J7/F7</f>
        <v>0.99287088378409</v>
      </c>
      <c r="L7" s="37" t="s">
        <v>67</v>
      </c>
      <c r="M7" s="42" t="s">
        <v>67</v>
      </c>
      <c r="N7" s="37" t="s">
        <v>67</v>
      </c>
      <c r="O7" s="37" t="s">
        <v>67</v>
      </c>
      <c r="P7" s="37">
        <v>40</v>
      </c>
      <c r="Q7" s="37">
        <v>59</v>
      </c>
    </row>
    <row r="8" s="100" customFormat="1" ht="36" customHeight="1" spans="1:17">
      <c r="A8" s="37" t="s">
        <v>22</v>
      </c>
      <c r="B8" s="37">
        <f t="shared" ref="B8:B14" si="1">C8+D8+E8</f>
        <v>489</v>
      </c>
      <c r="C8" s="37">
        <v>416</v>
      </c>
      <c r="D8" s="37">
        <v>73</v>
      </c>
      <c r="E8" s="37">
        <v>0</v>
      </c>
      <c r="F8" s="37">
        <f>G8+H8</f>
        <v>330.718</v>
      </c>
      <c r="G8" s="37">
        <v>155.554</v>
      </c>
      <c r="H8" s="37">
        <v>175.164</v>
      </c>
      <c r="I8" s="38">
        <f t="shared" ref="I7:I14" si="2">F8/C8</f>
        <v>0.794995192307692</v>
      </c>
      <c r="J8" s="37">
        <f>209.99+25.928+53.853+39.888</f>
        <v>329.659</v>
      </c>
      <c r="K8" s="40">
        <f>J8/F8</f>
        <v>0.996797876136164</v>
      </c>
      <c r="L8" s="37">
        <v>22.988</v>
      </c>
      <c r="M8" s="40">
        <f>L8/D8*100%</f>
        <v>0.314904109589041</v>
      </c>
      <c r="N8" s="37">
        <v>22.988</v>
      </c>
      <c r="O8" s="41">
        <f>N8/L8</f>
        <v>1</v>
      </c>
      <c r="P8" s="37">
        <v>960</v>
      </c>
      <c r="Q8" s="37">
        <v>1116</v>
      </c>
    </row>
    <row r="9" s="101" customFormat="1" ht="36" customHeight="1" spans="1:17">
      <c r="A9" s="44" t="s">
        <v>23</v>
      </c>
      <c r="B9" s="44">
        <f t="shared" si="1"/>
        <v>604</v>
      </c>
      <c r="C9" s="44">
        <v>573</v>
      </c>
      <c r="D9" s="44">
        <v>31</v>
      </c>
      <c r="E9" s="44">
        <v>0</v>
      </c>
      <c r="F9" s="44">
        <f t="shared" ref="F8:F14" si="3">G9+H9</f>
        <v>544.777</v>
      </c>
      <c r="G9" s="44">
        <v>248.155</v>
      </c>
      <c r="H9" s="44">
        <v>296.622</v>
      </c>
      <c r="I9" s="45">
        <f t="shared" si="2"/>
        <v>0.95074520069808</v>
      </c>
      <c r="J9" s="44">
        <v>486.975</v>
      </c>
      <c r="K9" s="46">
        <f>J9/F9</f>
        <v>0.893897870137689</v>
      </c>
      <c r="L9" s="44">
        <v>30.818</v>
      </c>
      <c r="M9" s="46">
        <f>L9/D9*100%</f>
        <v>0.994129032258065</v>
      </c>
      <c r="N9" s="44">
        <v>30.14</v>
      </c>
      <c r="O9" s="47">
        <f>N9/L9</f>
        <v>0.977999870205724</v>
      </c>
      <c r="P9" s="37">
        <v>722</v>
      </c>
      <c r="Q9" s="37">
        <v>1027</v>
      </c>
    </row>
    <row r="10" s="100" customFormat="1" ht="36" customHeight="1" spans="1:17">
      <c r="A10" s="37" t="s">
        <v>24</v>
      </c>
      <c r="B10" s="37">
        <f t="shared" si="1"/>
        <v>161</v>
      </c>
      <c r="C10" s="37">
        <v>161</v>
      </c>
      <c r="D10" s="37">
        <v>0</v>
      </c>
      <c r="E10" s="37">
        <v>0</v>
      </c>
      <c r="F10" s="48">
        <f t="shared" si="3"/>
        <v>163.427</v>
      </c>
      <c r="G10" s="37">
        <v>68.728</v>
      </c>
      <c r="H10" s="37">
        <v>94.699</v>
      </c>
      <c r="I10" s="38">
        <f t="shared" si="2"/>
        <v>1.01507453416149</v>
      </c>
      <c r="J10" s="37">
        <v>161</v>
      </c>
      <c r="K10" s="40">
        <v>1</v>
      </c>
      <c r="L10" s="37" t="s">
        <v>67</v>
      </c>
      <c r="M10" s="40" t="s">
        <v>67</v>
      </c>
      <c r="N10" s="37" t="s">
        <v>67</v>
      </c>
      <c r="O10" s="37" t="s">
        <v>67</v>
      </c>
      <c r="P10" s="37">
        <v>547</v>
      </c>
      <c r="Q10" s="37">
        <v>615</v>
      </c>
    </row>
    <row r="11" s="100" customFormat="1" ht="36" customHeight="1" spans="1:17">
      <c r="A11" s="37" t="s">
        <v>25</v>
      </c>
      <c r="B11" s="37">
        <f t="shared" si="1"/>
        <v>317</v>
      </c>
      <c r="C11" s="37">
        <v>302</v>
      </c>
      <c r="D11" s="37">
        <v>15</v>
      </c>
      <c r="E11" s="37">
        <v>0</v>
      </c>
      <c r="F11" s="37">
        <f t="shared" si="3"/>
        <v>253.599</v>
      </c>
      <c r="G11" s="37">
        <v>138.904</v>
      </c>
      <c r="H11" s="37">
        <v>114.695</v>
      </c>
      <c r="I11" s="38">
        <f t="shared" si="2"/>
        <v>0.83973178807947</v>
      </c>
      <c r="J11" s="37">
        <f>181.446+72.993</f>
        <v>254.439</v>
      </c>
      <c r="K11" s="40">
        <f>J11/F11</f>
        <v>1.0033123159003</v>
      </c>
      <c r="L11" s="37">
        <v>0</v>
      </c>
      <c r="M11" s="49">
        <v>0</v>
      </c>
      <c r="N11" s="37">
        <v>0</v>
      </c>
      <c r="O11" s="37">
        <v>0</v>
      </c>
      <c r="P11" s="37">
        <v>302</v>
      </c>
      <c r="Q11" s="37">
        <v>373</v>
      </c>
    </row>
    <row r="12" s="101" customFormat="1" ht="36" customHeight="1" spans="1:17">
      <c r="A12" s="44" t="s">
        <v>26</v>
      </c>
      <c r="B12" s="44">
        <f t="shared" si="1"/>
        <v>391</v>
      </c>
      <c r="C12" s="44">
        <v>372</v>
      </c>
      <c r="D12" s="44">
        <v>19</v>
      </c>
      <c r="E12" s="44">
        <v>0</v>
      </c>
      <c r="F12" s="50">
        <f t="shared" si="3"/>
        <v>371.987</v>
      </c>
      <c r="G12" s="51">
        <v>173.59</v>
      </c>
      <c r="H12" s="44">
        <v>198.397</v>
      </c>
      <c r="I12" s="45">
        <f t="shared" si="2"/>
        <v>0.999965053763441</v>
      </c>
      <c r="J12" s="44">
        <v>359.062</v>
      </c>
      <c r="K12" s="46">
        <f>J12/F12</f>
        <v>0.965254162107816</v>
      </c>
      <c r="L12" s="44">
        <v>18.975</v>
      </c>
      <c r="M12" s="46">
        <f>L12/D12*100%</f>
        <v>0.998684210526316</v>
      </c>
      <c r="N12" s="44">
        <v>2.876</v>
      </c>
      <c r="O12" s="45">
        <f>N12/L12</f>
        <v>0.151567852437418</v>
      </c>
      <c r="P12" s="37">
        <v>807</v>
      </c>
      <c r="Q12" s="37">
        <v>958</v>
      </c>
    </row>
    <row r="13" s="100" customFormat="1" ht="36" customHeight="1" spans="1:17">
      <c r="A13" s="37" t="s">
        <v>27</v>
      </c>
      <c r="B13" s="37">
        <f t="shared" si="1"/>
        <v>1215</v>
      </c>
      <c r="C13" s="37">
        <v>1144</v>
      </c>
      <c r="D13" s="37">
        <v>71</v>
      </c>
      <c r="E13" s="37">
        <v>0</v>
      </c>
      <c r="F13" s="48">
        <f t="shared" si="3"/>
        <v>1143.895</v>
      </c>
      <c r="G13" s="37">
        <v>450.276</v>
      </c>
      <c r="H13" s="37">
        <v>693.619</v>
      </c>
      <c r="I13" s="38">
        <f t="shared" si="2"/>
        <v>0.999908216783217</v>
      </c>
      <c r="J13" s="37">
        <v>1081.392</v>
      </c>
      <c r="K13" s="40">
        <f>J13/F13</f>
        <v>0.945359495408232</v>
      </c>
      <c r="L13" s="37">
        <v>0</v>
      </c>
      <c r="M13" s="42">
        <v>0</v>
      </c>
      <c r="N13" s="37">
        <v>0</v>
      </c>
      <c r="O13" s="37">
        <v>0</v>
      </c>
      <c r="P13" s="37">
        <v>1111</v>
      </c>
      <c r="Q13" s="37">
        <v>1537</v>
      </c>
    </row>
    <row r="14" s="100" customFormat="1" ht="36" customHeight="1" spans="1:17">
      <c r="A14" s="52" t="s">
        <v>28</v>
      </c>
      <c r="B14" s="37">
        <f t="shared" si="1"/>
        <v>271</v>
      </c>
      <c r="C14" s="37">
        <v>255</v>
      </c>
      <c r="D14" s="52">
        <v>16</v>
      </c>
      <c r="E14" s="52">
        <v>0</v>
      </c>
      <c r="F14" s="37">
        <f t="shared" si="3"/>
        <v>216.663</v>
      </c>
      <c r="G14" s="52">
        <v>137.574</v>
      </c>
      <c r="H14" s="37">
        <v>79.089</v>
      </c>
      <c r="I14" s="38">
        <f t="shared" si="2"/>
        <v>0.849658823529412</v>
      </c>
      <c r="J14" s="53">
        <v>197.487</v>
      </c>
      <c r="K14" s="40">
        <f>J14/F14</f>
        <v>0.911493886819623</v>
      </c>
      <c r="L14" s="37">
        <v>0</v>
      </c>
      <c r="M14" s="42">
        <v>0</v>
      </c>
      <c r="N14" s="37">
        <v>0</v>
      </c>
      <c r="O14" s="37">
        <v>0</v>
      </c>
      <c r="P14" s="37">
        <v>291</v>
      </c>
      <c r="Q14" s="37">
        <v>366</v>
      </c>
    </row>
  </sheetData>
  <mergeCells count="20">
    <mergeCell ref="A1:O1"/>
    <mergeCell ref="B3:E3"/>
    <mergeCell ref="F3:H3"/>
    <mergeCell ref="A3:A5"/>
    <mergeCell ref="B4:B5"/>
    <mergeCell ref="C4:C5"/>
    <mergeCell ref="D4:D5"/>
    <mergeCell ref="E4:E5"/>
    <mergeCell ref="F4:F5"/>
    <mergeCell ref="G4:G5"/>
    <mergeCell ref="H4:H5"/>
    <mergeCell ref="I3:I5"/>
    <mergeCell ref="J3:J5"/>
    <mergeCell ref="K3:K5"/>
    <mergeCell ref="L3:L5"/>
    <mergeCell ref="M3:M5"/>
    <mergeCell ref="N3:N5"/>
    <mergeCell ref="O3:O5"/>
    <mergeCell ref="P3:P5"/>
    <mergeCell ref="Q3:Q5"/>
  </mergeCells>
  <conditionalFormatting sqref="O3">
    <cfRule type="dataBar" priority="3">
      <dataBar>
        <cfvo type="num" val="0.01"/>
        <cfvo type="num" val="1"/>
        <color rgb="FF638EC6"/>
      </dataBar>
      <extLst>
        <ext xmlns:x14="http://schemas.microsoft.com/office/spreadsheetml/2009/9/main" uri="{B025F937-C7B1-47D3-B67F-A62EFF666E3E}">
          <x14:id>{8bb1f91e-9215-4bed-9891-8b4953e49938}</x14:id>
        </ext>
      </extLst>
    </cfRule>
    <cfRule type="dataBar" priority="4">
      <dataBar>
        <cfvo type="num" val="0"/>
        <cfvo type="num" val="0"/>
        <color theme="4" tint="0.4"/>
      </dataBar>
      <extLst>
        <ext xmlns:x14="http://schemas.microsoft.com/office/spreadsheetml/2009/9/main" uri="{B025F937-C7B1-47D3-B67F-A62EFF666E3E}">
          <x14:id>{a9b79510-7aa9-44f2-8e4c-6830697b335d}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{4a10077b-1045-47d5-87b9-aa6d69dc5cc3}</x14:id>
        </ext>
      </extLst>
    </cfRule>
  </conditionalFormatting>
  <conditionalFormatting sqref="I6:I14">
    <cfRule type="dataBar" priority="22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{6b89fa2e-2d68-40bc-ab3c-84bb5a122549}</x14:id>
        </ext>
      </extLst>
    </cfRule>
    <cfRule type="dataBar" priority="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{1666a125-4a1a-49d6-a3c4-1a0e4c2035c8}</x14:id>
        </ext>
      </extLst>
    </cfRule>
    <cfRule type="dataBar" priority="3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{d79027bf-2c06-4b0a-aa79-951ea54167cd}</x14:id>
        </ext>
      </extLst>
    </cfRule>
    <cfRule type="dataBar" priority="38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{dec9db37-2056-4a43-a454-96198dacd171}</x14:id>
        </ext>
      </extLst>
    </cfRule>
    <cfRule type="dataBar" priority="40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{15b513aa-740f-4418-9e74-c38ac393788f}</x14:id>
        </ext>
      </extLst>
    </cfRule>
    <cfRule type="dataBar" priority="41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{dde31ea5-1054-4c5a-b570-2089802bb5cb}</x14:id>
        </ext>
      </extLst>
    </cfRule>
    <cfRule type="dataBar" priority="44">
      <dataBar>
        <cfvo type="num" val="0"/>
        <cfvo type="num" val="1"/>
        <color theme="3" tint="0.4"/>
      </dataBar>
      <extLst>
        <ext xmlns:x14="http://schemas.microsoft.com/office/spreadsheetml/2009/9/main" uri="{B025F937-C7B1-47D3-B67F-A62EFF666E3E}">
          <x14:id>{831e3913-33ec-47f3-a731-fd84ecd21d88}</x14:id>
        </ext>
      </extLst>
    </cfRule>
    <cfRule type="dataBar" priority="46">
      <dataBar>
        <cfvo type="num" val="0.01"/>
        <cfvo type="num" val="1"/>
        <color theme="4" tint="0.4"/>
      </dataBar>
      <extLst>
        <ext xmlns:x14="http://schemas.microsoft.com/office/spreadsheetml/2009/9/main" uri="{B025F937-C7B1-47D3-B67F-A62EFF666E3E}">
          <x14:id>{de03e49e-222a-4d3a-af75-8dbc34587037}</x14:id>
        </ext>
      </extLst>
    </cfRule>
  </conditionalFormatting>
  <conditionalFormatting sqref="K6:K14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{8111523b-66e2-4590-9cde-c44f8ebc1caa}</x14:id>
        </ext>
      </extLst>
    </cfRule>
    <cfRule type="dataBar" priority="20">
      <dataBar>
        <cfvo type="min"/>
        <cfvo type="max"/>
        <color theme="7" tint="0.4"/>
      </dataBar>
      <extLst>
        <ext xmlns:x14="http://schemas.microsoft.com/office/spreadsheetml/2009/9/main" uri="{B025F937-C7B1-47D3-B67F-A62EFF666E3E}">
          <x14:id>{6b275710-935c-4b05-9e08-714a9ec13946}</x14:id>
        </ext>
      </extLst>
    </cfRule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{3966419f-ab7a-4390-895c-9c23c9fe12f2}</x14:id>
        </ext>
      </extLst>
    </cfRule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{a8fabd0b-6087-49ba-a373-077fb5dc35be}</x14:id>
        </ext>
      </extLst>
    </cfRule>
    <cfRule type="dataBar" priority="34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{4542d6e3-e97c-470e-9677-044f7ebae867}</x14:id>
        </ext>
      </extLst>
    </cfRule>
    <cfRule type="dataBar" priority="37">
      <dataBar>
        <cfvo type="min"/>
        <cfvo type="max"/>
        <color rgb="FFDE6940"/>
      </dataBar>
      <extLst>
        <ext xmlns:x14="http://schemas.microsoft.com/office/spreadsheetml/2009/9/main" uri="{B025F937-C7B1-47D3-B67F-A62EFF666E3E}">
          <x14:id>{ddf75347-f86b-44a0-857c-e43d2f0f7415}</x14:id>
        </ext>
      </extLst>
    </cfRule>
    <cfRule type="dataBar" priority="39">
      <dataBar>
        <cfvo type="min"/>
        <cfvo type="max"/>
        <color theme="5" tint="0.4"/>
      </dataBar>
      <extLst>
        <ext xmlns:x14="http://schemas.microsoft.com/office/spreadsheetml/2009/9/main" uri="{B025F937-C7B1-47D3-B67F-A62EFF666E3E}">
          <x14:id>{4f924d84-5993-4e7a-b2db-29c59c58309b}</x14:id>
        </ext>
      </extLst>
    </cfRule>
    <cfRule type="dataBar" priority="42">
      <dataBar>
        <cfvo type="num" val="0"/>
        <cfvo type="num" val="1"/>
        <color theme="4" tint="0.4"/>
      </dataBar>
      <extLst>
        <ext xmlns:x14="http://schemas.microsoft.com/office/spreadsheetml/2009/9/main" uri="{B025F937-C7B1-47D3-B67F-A62EFF666E3E}">
          <x14:id>{67abfcf5-679d-413e-b24e-66658edc8e74}</x14:id>
        </ext>
      </extLst>
    </cfRule>
    <cfRule type="dataBar" priority="4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{94ef9aed-4ead-4b44-a657-276c0d8793d2}</x14:id>
        </ext>
      </extLst>
    </cfRule>
    <cfRule type="dataBar" priority="47">
      <dataBar>
        <cfvo type="num" val="0.01"/>
        <cfvo type="num" val="1"/>
        <color theme="4" tint="0.4"/>
      </dataBar>
      <extLst>
        <ext xmlns:x14="http://schemas.microsoft.com/office/spreadsheetml/2009/9/main" uri="{B025F937-C7B1-47D3-B67F-A62EFF666E3E}">
          <x14:id>{b78486bb-fa94-4ee4-ba9f-3ecb1c5a2de9}</x14:id>
        </ext>
      </extLst>
    </cfRule>
  </conditionalFormatting>
  <conditionalFormatting sqref="M6:M14">
    <cfRule type="dataBar" priority="15">
      <dataBar>
        <cfvo type="min"/>
        <cfvo type="max"/>
        <color rgb="FF5FCA70"/>
      </dataBar>
      <extLst>
        <ext xmlns:x14="http://schemas.microsoft.com/office/spreadsheetml/2009/9/main" uri="{B025F937-C7B1-47D3-B67F-A62EFF666E3E}">
          <x14:id>{aeaad9a0-3b07-4516-8f4d-94de8bcbdaee}</x14:id>
        </ext>
      </extLst>
    </cfRule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{20c700f0-15b1-412c-b2af-d68b981a4082}</x14:id>
        </ext>
      </extLst>
    </cfRule>
  </conditionalFormatting>
  <conditionalFormatting sqref="O6:O14">
    <cfRule type="dataBar" priority="1">
      <dataBar>
        <cfvo type="min"/>
        <cfvo type="max"/>
        <color rgb="FFD157CA"/>
      </dataBar>
      <extLst>
        <ext xmlns:x14="http://schemas.microsoft.com/office/spreadsheetml/2009/9/main" uri="{B025F937-C7B1-47D3-B67F-A62EFF666E3E}">
          <x14:id>{c6e3c54b-370f-494e-8eb1-7e541d963a26}</x14:id>
        </ext>
      </extLst>
    </cfRule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{386a2363-7c37-4922-b8bf-98a8b658907d}</x14:id>
        </ext>
      </extLst>
    </cfRule>
  </conditionalFormatting>
  <conditionalFormatting sqref="K1 K3:K65536">
    <cfRule type="dataBar" priority="48">
      <dataBar>
        <cfvo type="num" val="0.01"/>
        <cfvo type="num" val="1"/>
        <color rgb="FF638EC6"/>
      </dataBar>
      <extLst>
        <ext xmlns:x14="http://schemas.microsoft.com/office/spreadsheetml/2009/9/main" uri="{B025F937-C7B1-47D3-B67F-A62EFF666E3E}">
          <x14:id>{c9440de1-6244-4269-a148-2544d373f83d}</x14:id>
        </ext>
      </extLst>
    </cfRule>
    <cfRule type="dataBar" priority="49">
      <dataBar>
        <cfvo type="num" val="0"/>
        <cfvo type="num" val="0"/>
        <color theme="4" tint="0.4"/>
      </dataBar>
      <extLst>
        <ext xmlns:x14="http://schemas.microsoft.com/office/spreadsheetml/2009/9/main" uri="{B025F937-C7B1-47D3-B67F-A62EFF666E3E}">
          <x14:id>{46676e8d-c3f4-4168-a10c-f7209d050939}</x14:id>
        </ext>
      </extLst>
    </cfRule>
    <cfRule type="dataBar" priority="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{b8bdbd8e-cceb-45e9-8c98-f91e48aa5dcb}</x14:id>
        </ext>
      </extLst>
    </cfRule>
  </conditionalFormatting>
  <pageMargins left="0.275" right="0.118055555555556" top="0.511805555555556" bottom="0.511805555555556" header="0.5" footer="0.10625"/>
  <pageSetup paperSize="9" orientation="landscape" horizontalDpi="600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b1f91e-9215-4bed-9891-8b4953e49938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14:cfRule type="dataBar" id="{a9b79510-7aa9-44f2-8e4c-6830697b335d}">
            <x14:dataBar minLength="0" maxLength="100" negativeBarColorSameAsPositive="1" axisPosition="none">
              <x14:cfvo type="num">
                <xm:f>0</xm:f>
              </x14:cfvo>
              <x14:cfvo type="num">
                <xm:f>0</xm:f>
              </x14:cfvo>
              <x14:axisColor indexed="65"/>
            </x14:dataBar>
          </x14:cfRule>
          <x14:cfRule type="dataBar" id="{4a10077b-1045-47d5-87b9-aa6d69dc5cc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O3</xm:sqref>
        </x14:conditionalFormatting>
        <x14:conditionalFormatting xmlns:xm="http://schemas.microsoft.com/office/excel/2006/main">
          <x14:cfRule type="dataBar" id="{6b89fa2e-2d68-40bc-ab3c-84bb5a12254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666a125-4a1a-49d6-a3c4-1a0e4c2035c8}">
            <x14:dataBar minLength="0" maxLength="100" gradient="0" negativeBarColorSameAsPositive="1" axisPosition="none">
              <x14:cfvo type="min"/>
              <x14:cfvo type="max"/>
              <x14:axisColor indexed="65"/>
            </x14:dataBar>
          </x14:cfRule>
          <x14:cfRule type="dataBar" id="{d79027bf-2c06-4b0a-aa79-951ea54167c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dec9db37-2056-4a43-a454-96198dacd17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15b513aa-740f-4418-9e74-c38ac393788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dde31ea5-1054-4c5a-b570-2089802bb5cb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831e3913-33ec-47f3-a731-fd84ecd21d88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de03e49e-222a-4d3a-af75-8dbc34587037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m:sqref>I6:I14</xm:sqref>
        </x14:conditionalFormatting>
        <x14:conditionalFormatting xmlns:xm="http://schemas.microsoft.com/office/excel/2006/main">
          <x14:cfRule type="dataBar" id="{8111523b-66e2-4590-9cde-c44f8ebc1c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6b275710-935c-4b05-9e08-714a9ec139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966419f-ab7a-4390-895c-9c23c9fe12f2}">
            <x14:dataBar minLength="0" maxLength="100" gradient="0" negativeBarColorSameAsPositive="1" axisPosition="none">
              <x14:cfvo type="min"/>
              <x14:cfvo type="max"/>
              <x14:axisColor indexed="65"/>
            </x14:dataBar>
          </x14:cfRule>
          <x14:cfRule type="dataBar" id="{a8fabd0b-6087-49ba-a373-077fb5dc35b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4542d6e3-e97c-470e-9677-044f7ebae86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ddf75347-f86b-44a0-857c-e43d2f0f741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4f924d84-5993-4e7a-b2db-29c59c58309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67abfcf5-679d-413e-b24e-66658edc8e7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94ef9aed-4ead-4b44-a657-276c0d8793d2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b78486bb-fa94-4ee4-ba9f-3ecb1c5a2de9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m:sqref>K6:K14</xm:sqref>
        </x14:conditionalFormatting>
        <x14:conditionalFormatting xmlns:xm="http://schemas.microsoft.com/office/excel/2006/main">
          <x14:cfRule type="dataBar" id="{aeaad9a0-3b07-4516-8f4d-94de8bcbdae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c700f0-15b1-412c-b2af-d68b981a40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M6:M14</xm:sqref>
        </x14:conditionalFormatting>
        <x14:conditionalFormatting xmlns:xm="http://schemas.microsoft.com/office/excel/2006/main">
          <x14:cfRule type="dataBar" id="{c6e3c54b-370f-494e-8eb1-7e541d963a2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6a2363-7c37-4922-b8bf-98a8b65890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O6:O14</xm:sqref>
        </x14:conditionalFormatting>
        <x14:conditionalFormatting xmlns:xm="http://schemas.microsoft.com/office/excel/2006/main">
          <x14:cfRule type="dataBar" id="{c9440de1-6244-4269-a148-2544d373f83d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14:cfRule type="dataBar" id="{46676e8d-c3f4-4168-a10c-f7209d050939}">
            <x14:dataBar minLength="0" maxLength="100" negativeBarColorSameAsPositive="1" axisPosition="none">
              <x14:cfvo type="num">
                <xm:f>0</xm:f>
              </x14:cfvo>
              <x14:cfvo type="num">
                <xm:f>0</xm:f>
              </x14:cfvo>
              <x14:axisColor indexed="65"/>
            </x14:dataBar>
          </x14:cfRule>
          <x14:cfRule type="dataBar" id="{b8bdbd8e-cceb-45e9-8c98-f91e48aa5dc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K1 K3:K65536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T8" sqref="T8"/>
    </sheetView>
  </sheetViews>
  <sheetFormatPr defaultColWidth="9.14285714285714" defaultRowHeight="12.75"/>
  <cols>
    <col min="1" max="1" width="13.0571428571429" customWidth="1"/>
    <col min="2" max="2" width="12.9428571428571" customWidth="1"/>
    <col min="3" max="3" width="14.1428571428571" customWidth="1"/>
    <col min="4" max="4" width="19.7047619047619" customWidth="1"/>
    <col min="5" max="5" width="10.5333333333333" customWidth="1"/>
    <col min="6" max="6" width="11.0190476190476" customWidth="1"/>
    <col min="7" max="7" width="4.28571428571429" customWidth="1"/>
    <col min="8" max="8" width="4.76190476190476" customWidth="1"/>
    <col min="9" max="9" width="11.1428571428571" style="21" customWidth="1"/>
    <col min="10" max="10" width="11.7333333333333" style="21" customWidth="1"/>
    <col min="11" max="11" width="4.02857142857143" customWidth="1"/>
    <col min="12" max="12" width="4.62857142857143" customWidth="1"/>
    <col min="13" max="14" width="10.5619047619048" customWidth="1"/>
    <col min="15" max="19" width="9.56190476190476"/>
  </cols>
  <sheetData>
    <row r="1" ht="39" customHeight="1" spans="1:18">
      <c r="A1" s="56"/>
      <c r="B1" s="56"/>
      <c r="C1" s="56"/>
      <c r="D1" s="56"/>
      <c r="E1" s="56"/>
      <c r="F1" s="56"/>
      <c r="G1" s="56"/>
      <c r="H1" s="56"/>
      <c r="I1" s="57" t="s">
        <v>72</v>
      </c>
      <c r="J1" s="58"/>
      <c r="K1" s="56"/>
      <c r="L1" s="56"/>
      <c r="M1" s="57" t="s">
        <v>73</v>
      </c>
      <c r="N1" s="58"/>
    </row>
    <row r="2" s="54" customFormat="1" ht="72" customHeight="1" spans="1:18">
      <c r="A2" s="59" t="s">
        <v>2</v>
      </c>
      <c r="B2" s="60" t="s">
        <v>74</v>
      </c>
      <c r="C2" s="59" t="s">
        <v>75</v>
      </c>
      <c r="D2" s="60" t="s">
        <v>76</v>
      </c>
      <c r="E2" s="60" t="s">
        <v>77</v>
      </c>
      <c r="F2" s="61" t="s">
        <v>78</v>
      </c>
      <c r="G2" s="62"/>
      <c r="H2" s="62"/>
      <c r="I2" s="63" t="s">
        <v>77</v>
      </c>
      <c r="J2" s="64" t="s">
        <v>78</v>
      </c>
      <c r="K2" s="56"/>
      <c r="L2" s="56"/>
      <c r="M2" s="63" t="s">
        <v>77</v>
      </c>
      <c r="N2" s="64" t="s">
        <v>78</v>
      </c>
    </row>
    <row r="3" s="55" customFormat="1" ht="45" customHeight="1" spans="1:18">
      <c r="A3" s="59" t="s">
        <v>20</v>
      </c>
      <c r="B3" s="65">
        <f>SUM(B6:B12)</f>
        <v>2340</v>
      </c>
      <c r="C3" s="66">
        <f>2382.773-39.93</f>
        <v>2342.843</v>
      </c>
      <c r="D3" s="67">
        <v>45442</v>
      </c>
      <c r="E3" s="66">
        <v>7674</v>
      </c>
      <c r="F3" s="66">
        <v>9218</v>
      </c>
      <c r="G3" s="68"/>
      <c r="H3" s="68"/>
      <c r="I3" s="69">
        <f>SUM(I6:I12)</f>
        <v>10245</v>
      </c>
      <c r="J3" s="70">
        <f>SUM(J6:J12)</f>
        <v>12924</v>
      </c>
      <c r="K3" s="71"/>
      <c r="L3" s="71"/>
      <c r="M3" s="72">
        <f>I3-E3</f>
        <v>2571</v>
      </c>
      <c r="N3" s="70">
        <f>J3-F3</f>
        <v>3706</v>
      </c>
    </row>
    <row r="4" s="54" customFormat="1" ht="39" customHeight="1" spans="1:18">
      <c r="A4" s="73"/>
      <c r="B4" s="74"/>
      <c r="C4" s="75">
        <f>SUM(C6:C12)</f>
        <v>2319.954</v>
      </c>
      <c r="D4" s="75"/>
      <c r="E4" s="75">
        <f>SUM(E6:E12)</f>
        <v>7255</v>
      </c>
      <c r="F4" s="75">
        <f>SUM(F6:F12)</f>
        <v>8842</v>
      </c>
      <c r="G4" s="76"/>
      <c r="H4" s="76"/>
      <c r="I4" s="77"/>
      <c r="J4" s="78"/>
      <c r="K4" s="79"/>
      <c r="L4" s="79"/>
      <c r="M4" s="80">
        <f>I3-E4</f>
        <v>2990</v>
      </c>
      <c r="N4" s="81">
        <f>J3-F4</f>
        <v>4082</v>
      </c>
    </row>
    <row r="5" s="54" customFormat="1" ht="39" customHeight="1" spans="1:18">
      <c r="A5" s="82" t="s">
        <v>79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="54" customFormat="1" ht="39" customHeight="1" spans="1:18">
      <c r="A6" s="83" t="s">
        <v>22</v>
      </c>
      <c r="B6" s="84">
        <v>325</v>
      </c>
      <c r="C6" s="84">
        <v>326.472</v>
      </c>
      <c r="D6" s="85">
        <v>45485</v>
      </c>
      <c r="E6" s="84">
        <v>1487</v>
      </c>
      <c r="F6" s="86">
        <v>1691</v>
      </c>
      <c r="G6" s="87"/>
      <c r="H6" s="87"/>
      <c r="I6" s="88">
        <v>2004</v>
      </c>
      <c r="J6" s="86">
        <v>2370</v>
      </c>
      <c r="K6" s="56"/>
      <c r="L6" s="56"/>
      <c r="M6" s="88">
        <f t="shared" ref="M6:M12" si="0">I6-E6</f>
        <v>517</v>
      </c>
      <c r="N6" s="86">
        <f t="shared" ref="N6:N12" si="1">J6-F6</f>
        <v>679</v>
      </c>
    </row>
    <row r="7" s="54" customFormat="1" ht="39" customHeight="1" spans="1:18">
      <c r="A7" s="59" t="s">
        <v>23</v>
      </c>
      <c r="B7" s="65">
        <v>417</v>
      </c>
      <c r="C7" s="65">
        <v>385.995</v>
      </c>
      <c r="D7" s="89">
        <v>45434</v>
      </c>
      <c r="E7" s="65">
        <v>651</v>
      </c>
      <c r="F7" s="65">
        <v>952</v>
      </c>
      <c r="G7" s="87"/>
      <c r="H7" s="87"/>
      <c r="I7" s="90">
        <v>1055</v>
      </c>
      <c r="J7" s="91">
        <v>1639</v>
      </c>
      <c r="K7" s="56"/>
      <c r="L7" s="56"/>
      <c r="M7" s="90">
        <f t="shared" si="0"/>
        <v>404</v>
      </c>
      <c r="N7" s="91">
        <f t="shared" si="1"/>
        <v>687</v>
      </c>
      <c r="R7" s="92"/>
    </row>
    <row r="8" s="54" customFormat="1" ht="39" customHeight="1" spans="1:18">
      <c r="A8" s="59" t="s">
        <v>24</v>
      </c>
      <c r="B8" s="65">
        <v>126</v>
      </c>
      <c r="C8" s="65">
        <v>124.559</v>
      </c>
      <c r="D8" s="89">
        <v>45449</v>
      </c>
      <c r="E8" s="65">
        <v>688</v>
      </c>
      <c r="F8" s="65">
        <v>747</v>
      </c>
      <c r="G8" s="93"/>
      <c r="H8" s="93"/>
      <c r="I8" s="90">
        <v>1047</v>
      </c>
      <c r="J8" s="91">
        <v>1167</v>
      </c>
      <c r="K8" s="56"/>
      <c r="L8" s="56"/>
      <c r="M8" s="90">
        <f t="shared" si="0"/>
        <v>359</v>
      </c>
      <c r="N8" s="91">
        <f t="shared" si="1"/>
        <v>420</v>
      </c>
    </row>
    <row r="9" s="54" customFormat="1" ht="39" customHeight="1" spans="1:18">
      <c r="A9" s="59" t="s">
        <v>25</v>
      </c>
      <c r="B9" s="65">
        <v>206</v>
      </c>
      <c r="C9" s="65">
        <v>213.011</v>
      </c>
      <c r="D9" s="89">
        <v>45418</v>
      </c>
      <c r="E9" s="65">
        <v>519</v>
      </c>
      <c r="F9" s="91">
        <v>688</v>
      </c>
      <c r="G9" s="93"/>
      <c r="H9" s="93"/>
      <c r="I9" s="90">
        <v>822</v>
      </c>
      <c r="J9" s="91">
        <v>1113</v>
      </c>
      <c r="K9" s="56"/>
      <c r="L9" s="56"/>
      <c r="M9" s="90">
        <f t="shared" si="0"/>
        <v>303</v>
      </c>
      <c r="N9" s="91">
        <f t="shared" si="1"/>
        <v>425</v>
      </c>
    </row>
    <row r="10" s="54" customFormat="1" ht="39" customHeight="1" spans="1:18">
      <c r="A10" s="59" t="s">
        <v>26</v>
      </c>
      <c r="B10" s="65">
        <v>269</v>
      </c>
      <c r="C10" s="65">
        <v>247.656</v>
      </c>
      <c r="D10" s="89">
        <v>45442</v>
      </c>
      <c r="E10" s="65">
        <v>747</v>
      </c>
      <c r="F10" s="91">
        <v>861</v>
      </c>
      <c r="G10" s="93"/>
      <c r="H10" s="93"/>
      <c r="I10" s="90">
        <v>1223</v>
      </c>
      <c r="J10" s="91">
        <v>1449</v>
      </c>
      <c r="K10" s="56"/>
      <c r="L10" s="56"/>
      <c r="M10" s="90">
        <f t="shared" si="0"/>
        <v>476</v>
      </c>
      <c r="N10" s="91">
        <f t="shared" si="1"/>
        <v>588</v>
      </c>
    </row>
    <row r="11" s="54" customFormat="1" ht="39" customHeight="1" spans="1:18">
      <c r="A11" s="59" t="s">
        <v>27</v>
      </c>
      <c r="B11" s="65">
        <v>809</v>
      </c>
      <c r="C11" s="65">
        <v>817.633</v>
      </c>
      <c r="D11" s="89">
        <v>45418</v>
      </c>
      <c r="E11" s="65">
        <v>2641</v>
      </c>
      <c r="F11" s="91">
        <v>3211</v>
      </c>
      <c r="G11" s="93"/>
      <c r="H11" s="93"/>
      <c r="I11" s="90">
        <v>3280</v>
      </c>
      <c r="J11" s="91">
        <v>4109</v>
      </c>
      <c r="K11" s="56"/>
      <c r="L11" s="56"/>
      <c r="M11" s="90">
        <f t="shared" si="0"/>
        <v>639</v>
      </c>
      <c r="N11" s="91">
        <f t="shared" si="1"/>
        <v>898</v>
      </c>
    </row>
    <row r="12" s="54" customFormat="1" ht="39" customHeight="1" spans="1:18">
      <c r="A12" s="94" t="s">
        <v>28</v>
      </c>
      <c r="B12" s="95">
        <v>188</v>
      </c>
      <c r="C12" s="95">
        <v>204.628</v>
      </c>
      <c r="D12" s="96">
        <v>45471</v>
      </c>
      <c r="E12" s="95">
        <v>522</v>
      </c>
      <c r="F12" s="97">
        <v>692</v>
      </c>
      <c r="G12" s="93"/>
      <c r="H12" s="93"/>
      <c r="I12" s="98">
        <v>814</v>
      </c>
      <c r="J12" s="97">
        <v>1077</v>
      </c>
      <c r="K12" s="56"/>
      <c r="L12" s="56"/>
      <c r="M12" s="90">
        <f t="shared" si="0"/>
        <v>292</v>
      </c>
      <c r="N12" s="91">
        <f t="shared" si="1"/>
        <v>385</v>
      </c>
    </row>
  </sheetData>
  <mergeCells count="7">
    <mergeCell ref="I1:J1"/>
    <mergeCell ref="M1:N1"/>
    <mergeCell ref="A5:N5"/>
    <mergeCell ref="A3:A4"/>
    <mergeCell ref="B3:B4"/>
    <mergeCell ref="I3:I4"/>
    <mergeCell ref="J3:J4"/>
  </mergeCells>
  <pageMargins left="0.236111111111111" right="0.354166666666667" top="1" bottom="0.393055555555556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3" workbookViewId="0">
      <selection activeCell="G10" sqref="G10"/>
    </sheetView>
  </sheetViews>
  <sheetFormatPr defaultColWidth="9" defaultRowHeight="12.75"/>
  <sheetData>
    <row r="1" ht="33.75" spans="1:18">
      <c r="A1" s="22" t="s">
        <v>68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  <c r="R1" s="23"/>
    </row>
    <row r="2" ht="33.75" spans="1:18">
      <c r="A2" s="22"/>
      <c r="B2" s="22"/>
      <c r="C2" s="22"/>
      <c r="D2" s="22"/>
      <c r="E2" s="22"/>
      <c r="F2" s="22"/>
      <c r="G2" s="22"/>
      <c r="H2" s="22"/>
      <c r="I2" s="22"/>
      <c r="J2" s="22"/>
      <c r="K2" s="24"/>
      <c r="L2" s="25" t="s">
        <v>69</v>
      </c>
      <c r="M2" s="25"/>
      <c r="N2" s="25"/>
      <c r="O2" s="25" t="s">
        <v>80</v>
      </c>
      <c r="P2" s="25"/>
      <c r="Q2" s="23"/>
      <c r="R2" s="23"/>
    </row>
    <row r="3" ht="47" customHeight="1" spans="1:18">
      <c r="A3" s="26" t="s">
        <v>2</v>
      </c>
      <c r="B3" s="27" t="s">
        <v>55</v>
      </c>
      <c r="C3" s="27"/>
      <c r="D3" s="27"/>
      <c r="E3" s="27"/>
      <c r="F3" s="27" t="s">
        <v>56</v>
      </c>
      <c r="G3" s="27"/>
      <c r="H3" s="27"/>
      <c r="I3" s="27"/>
      <c r="J3" s="28" t="s">
        <v>57</v>
      </c>
      <c r="K3" s="26" t="s">
        <v>51</v>
      </c>
      <c r="L3" s="26" t="s">
        <v>58</v>
      </c>
      <c r="M3" s="28" t="s">
        <v>59</v>
      </c>
      <c r="N3" s="29" t="s">
        <v>57</v>
      </c>
      <c r="O3" s="29" t="s">
        <v>51</v>
      </c>
      <c r="P3" s="29" t="s">
        <v>58</v>
      </c>
      <c r="Q3" s="26" t="s">
        <v>70</v>
      </c>
      <c r="R3" s="26" t="s">
        <v>71</v>
      </c>
    </row>
    <row r="4" ht="47" customHeight="1" spans="1:18">
      <c r="A4" s="30"/>
      <c r="B4" s="31" t="s">
        <v>20</v>
      </c>
      <c r="C4" s="32" t="s">
        <v>62</v>
      </c>
      <c r="D4" s="32" t="s">
        <v>63</v>
      </c>
      <c r="E4" s="32" t="s">
        <v>64</v>
      </c>
      <c r="F4" s="32" t="s">
        <v>20</v>
      </c>
      <c r="G4" s="32" t="s">
        <v>20</v>
      </c>
      <c r="H4" s="32" t="s">
        <v>65</v>
      </c>
      <c r="I4" s="32" t="s">
        <v>66</v>
      </c>
      <c r="J4" s="33"/>
      <c r="K4" s="30"/>
      <c r="L4" s="30"/>
      <c r="M4" s="33"/>
      <c r="N4" s="29"/>
      <c r="O4" s="29"/>
      <c r="P4" s="29"/>
      <c r="Q4" s="30"/>
      <c r="R4" s="30"/>
    </row>
    <row r="5" ht="47" customHeight="1" spans="1:18">
      <c r="A5" s="34"/>
      <c r="B5" s="31"/>
      <c r="C5" s="35"/>
      <c r="D5" s="35"/>
      <c r="E5" s="35"/>
      <c r="F5" s="33"/>
      <c r="G5" s="33"/>
      <c r="H5" s="33"/>
      <c r="I5" s="33"/>
      <c r="J5" s="35"/>
      <c r="K5" s="34"/>
      <c r="L5" s="34"/>
      <c r="M5" s="35"/>
      <c r="N5" s="29"/>
      <c r="O5" s="29"/>
      <c r="P5" s="29"/>
      <c r="Q5" s="34"/>
      <c r="R5" s="34"/>
    </row>
    <row r="6" ht="47" customHeight="1" spans="1:18">
      <c r="A6" s="36" t="s">
        <v>20</v>
      </c>
      <c r="B6" s="37">
        <f t="shared" ref="B6:I6" si="0">SUM(B7:B14)</f>
        <v>3540.821</v>
      </c>
      <c r="C6" s="37">
        <v>3303</v>
      </c>
      <c r="D6" s="37">
        <f t="shared" si="0"/>
        <v>225</v>
      </c>
      <c r="E6" s="37">
        <f t="shared" si="0"/>
        <v>12.821</v>
      </c>
      <c r="F6" s="37">
        <f t="shared" si="0"/>
        <v>3044.987</v>
      </c>
      <c r="G6" s="37">
        <f t="shared" si="0"/>
        <v>3026.831</v>
      </c>
      <c r="H6" s="37">
        <f t="shared" si="0"/>
        <v>1372.781</v>
      </c>
      <c r="I6" s="37">
        <f t="shared" si="0"/>
        <v>1672.206</v>
      </c>
      <c r="J6" s="38">
        <f t="shared" ref="J6:J14" si="1">F6/C6</f>
        <v>0.921885255828035</v>
      </c>
      <c r="K6" s="39">
        <f>SUM(K7:K14)</f>
        <v>2896.336</v>
      </c>
      <c r="L6" s="40">
        <f>K6/G6</f>
        <v>0.956887252707535</v>
      </c>
      <c r="M6" s="37">
        <f t="shared" ref="M6:R6" si="2">SUM(M7:M14)</f>
        <v>72.963</v>
      </c>
      <c r="N6" s="40">
        <f>M6/D6</f>
        <v>0.32428</v>
      </c>
      <c r="O6" s="37">
        <f>O8+O9+O11+O12+O13+O14</f>
        <v>56.004</v>
      </c>
      <c r="P6" s="41">
        <f t="shared" ref="P6:P9" si="3">O6/M6</f>
        <v>0.767567123062374</v>
      </c>
      <c r="Q6" s="37">
        <f t="shared" si="2"/>
        <v>4727</v>
      </c>
      <c r="R6" s="37">
        <f t="shared" si="2"/>
        <v>5986</v>
      </c>
    </row>
    <row r="7" ht="47" customHeight="1" spans="1:18">
      <c r="A7" s="37" t="s">
        <v>21</v>
      </c>
      <c r="B7" s="37">
        <f t="shared" ref="B7:B14" si="4">C7+D7+E7</f>
        <v>92.821</v>
      </c>
      <c r="C7" s="37">
        <v>80</v>
      </c>
      <c r="D7" s="37">
        <v>0</v>
      </c>
      <c r="E7" s="37">
        <v>12.821</v>
      </c>
      <c r="F7" s="37">
        <f t="shared" ref="F7:F14" si="5">H7+I7</f>
        <v>26.511</v>
      </c>
      <c r="G7" s="37">
        <v>26.511</v>
      </c>
      <c r="H7" s="37">
        <v>0</v>
      </c>
      <c r="I7" s="37">
        <v>26.511</v>
      </c>
      <c r="J7" s="38">
        <f t="shared" si="1"/>
        <v>0.3313875</v>
      </c>
      <c r="K7" s="37">
        <v>26.322</v>
      </c>
      <c r="L7" s="40">
        <f t="shared" ref="L7:L9" si="6">K7/F7</f>
        <v>0.99287088378409</v>
      </c>
      <c r="M7" s="37" t="s">
        <v>67</v>
      </c>
      <c r="N7" s="42" t="s">
        <v>67</v>
      </c>
      <c r="O7" s="37" t="s">
        <v>67</v>
      </c>
      <c r="P7" s="37" t="s">
        <v>67</v>
      </c>
      <c r="Q7" s="37">
        <v>40</v>
      </c>
      <c r="R7" s="37">
        <v>59</v>
      </c>
    </row>
    <row r="8" ht="47" customHeight="1" spans="1:18">
      <c r="A8" s="37" t="s">
        <v>22</v>
      </c>
      <c r="B8" s="37">
        <f t="shared" si="4"/>
        <v>489</v>
      </c>
      <c r="C8" s="37">
        <v>416</v>
      </c>
      <c r="D8" s="37">
        <v>73</v>
      </c>
      <c r="E8" s="37">
        <v>0</v>
      </c>
      <c r="F8" s="37">
        <f t="shared" si="5"/>
        <v>325.861</v>
      </c>
      <c r="G8" s="37">
        <v>334.835</v>
      </c>
      <c r="H8" s="37">
        <v>155.554</v>
      </c>
      <c r="I8" s="43">
        <v>170.307</v>
      </c>
      <c r="J8" s="38">
        <f t="shared" si="1"/>
        <v>0.783319711538461</v>
      </c>
      <c r="K8" s="37">
        <f>209.99+25.928+53.853+39.888</f>
        <v>329.659</v>
      </c>
      <c r="L8" s="40">
        <f t="shared" si="6"/>
        <v>1.01165527632948</v>
      </c>
      <c r="M8" s="37">
        <v>22.988</v>
      </c>
      <c r="N8" s="40">
        <f t="shared" ref="N8:N12" si="7">M8/D8*100%</f>
        <v>0.314904109589041</v>
      </c>
      <c r="O8" s="37">
        <v>22.988</v>
      </c>
      <c r="P8" s="41">
        <f t="shared" si="3"/>
        <v>1</v>
      </c>
      <c r="Q8" s="37">
        <v>934</v>
      </c>
      <c r="R8" s="37">
        <v>1083</v>
      </c>
    </row>
    <row r="9" ht="47" customHeight="1" spans="1:18">
      <c r="A9" s="44" t="s">
        <v>23</v>
      </c>
      <c r="B9" s="44">
        <f t="shared" si="4"/>
        <v>604</v>
      </c>
      <c r="C9" s="44">
        <v>573</v>
      </c>
      <c r="D9" s="44">
        <v>31</v>
      </c>
      <c r="E9" s="44">
        <v>0</v>
      </c>
      <c r="F9" s="44">
        <f t="shared" si="5"/>
        <v>544.777</v>
      </c>
      <c r="G9" s="44">
        <v>533.942</v>
      </c>
      <c r="H9" s="44">
        <v>248.155</v>
      </c>
      <c r="I9" s="44">
        <v>296.622</v>
      </c>
      <c r="J9" s="45">
        <f t="shared" si="1"/>
        <v>0.95074520069808</v>
      </c>
      <c r="K9" s="44">
        <v>486.975</v>
      </c>
      <c r="L9" s="46">
        <f t="shared" si="6"/>
        <v>0.893897870137689</v>
      </c>
      <c r="M9" s="44">
        <v>31</v>
      </c>
      <c r="N9" s="46">
        <f t="shared" si="7"/>
        <v>1</v>
      </c>
      <c r="O9" s="44">
        <v>30.14</v>
      </c>
      <c r="P9" s="47">
        <f t="shared" si="3"/>
        <v>0.972258064516129</v>
      </c>
      <c r="Q9" s="37">
        <v>722</v>
      </c>
      <c r="R9" s="37">
        <v>1027</v>
      </c>
    </row>
    <row r="10" ht="47" customHeight="1" spans="1:18">
      <c r="A10" s="37" t="s">
        <v>24</v>
      </c>
      <c r="B10" s="37">
        <f t="shared" si="4"/>
        <v>161</v>
      </c>
      <c r="C10" s="37">
        <v>161</v>
      </c>
      <c r="D10" s="37">
        <v>0</v>
      </c>
      <c r="E10" s="37">
        <v>0</v>
      </c>
      <c r="F10" s="48">
        <f t="shared" si="5"/>
        <v>163.427</v>
      </c>
      <c r="G10" s="48">
        <v>161</v>
      </c>
      <c r="H10" s="37">
        <v>68.728</v>
      </c>
      <c r="I10" s="37">
        <v>94.699</v>
      </c>
      <c r="J10" s="38">
        <f t="shared" si="1"/>
        <v>1.01507453416149</v>
      </c>
      <c r="K10" s="37">
        <v>161</v>
      </c>
      <c r="L10" s="40">
        <v>1</v>
      </c>
      <c r="M10" s="37" t="s">
        <v>67</v>
      </c>
      <c r="N10" s="40" t="s">
        <v>67</v>
      </c>
      <c r="O10" s="37" t="s">
        <v>67</v>
      </c>
      <c r="P10" s="37" t="s">
        <v>67</v>
      </c>
      <c r="Q10" s="37">
        <v>541</v>
      </c>
      <c r="R10" s="37">
        <v>608</v>
      </c>
    </row>
    <row r="11" ht="47" customHeight="1" spans="1:18">
      <c r="A11" s="37" t="s">
        <v>25</v>
      </c>
      <c r="B11" s="37">
        <f t="shared" si="4"/>
        <v>317</v>
      </c>
      <c r="C11" s="37">
        <v>302</v>
      </c>
      <c r="D11" s="37">
        <v>15</v>
      </c>
      <c r="E11" s="37">
        <v>0</v>
      </c>
      <c r="F11" s="37">
        <f t="shared" si="5"/>
        <v>251.866</v>
      </c>
      <c r="G11" s="37">
        <v>255.939</v>
      </c>
      <c r="H11" s="37">
        <v>138.904</v>
      </c>
      <c r="I11" s="43">
        <v>112.962</v>
      </c>
      <c r="J11" s="38">
        <f t="shared" si="1"/>
        <v>0.833993377483444</v>
      </c>
      <c r="K11" s="37">
        <f>181.446+72.993</f>
        <v>254.439</v>
      </c>
      <c r="L11" s="40">
        <f t="shared" ref="L11:L14" si="8">K11/F11</f>
        <v>1.01021574964465</v>
      </c>
      <c r="M11" s="37">
        <v>0</v>
      </c>
      <c r="N11" s="49">
        <v>0</v>
      </c>
      <c r="O11" s="37">
        <v>0</v>
      </c>
      <c r="P11" s="37">
        <v>0</v>
      </c>
      <c r="Q11" s="37">
        <v>293</v>
      </c>
      <c r="R11" s="37">
        <v>362</v>
      </c>
    </row>
    <row r="12" ht="47" customHeight="1" spans="1:18">
      <c r="A12" s="44" t="s">
        <v>26</v>
      </c>
      <c r="B12" s="44">
        <f t="shared" si="4"/>
        <v>391</v>
      </c>
      <c r="C12" s="44">
        <v>372</v>
      </c>
      <c r="D12" s="44">
        <v>19</v>
      </c>
      <c r="E12" s="44">
        <v>0</v>
      </c>
      <c r="F12" s="50">
        <f t="shared" si="5"/>
        <v>371.987</v>
      </c>
      <c r="G12" s="50">
        <v>372</v>
      </c>
      <c r="H12" s="51">
        <v>173.59</v>
      </c>
      <c r="I12" s="44">
        <v>198.397</v>
      </c>
      <c r="J12" s="45">
        <f t="shared" si="1"/>
        <v>0.999965053763441</v>
      </c>
      <c r="K12" s="44">
        <v>359.062</v>
      </c>
      <c r="L12" s="46">
        <f t="shared" si="8"/>
        <v>0.965254162107816</v>
      </c>
      <c r="M12" s="44">
        <v>18.975</v>
      </c>
      <c r="N12" s="46">
        <f t="shared" si="7"/>
        <v>0.998684210526316</v>
      </c>
      <c r="O12" s="44">
        <v>2.876</v>
      </c>
      <c r="P12" s="45">
        <f>O12/M12</f>
        <v>0.151567852437418</v>
      </c>
      <c r="Q12" s="37">
        <v>796</v>
      </c>
      <c r="R12" s="37">
        <v>945</v>
      </c>
    </row>
    <row r="13" ht="47" customHeight="1" spans="1:18">
      <c r="A13" s="37" t="s">
        <v>27</v>
      </c>
      <c r="B13" s="37">
        <f t="shared" si="4"/>
        <v>1215</v>
      </c>
      <c r="C13" s="37">
        <v>1144</v>
      </c>
      <c r="D13" s="37">
        <v>71</v>
      </c>
      <c r="E13" s="37">
        <v>0</v>
      </c>
      <c r="F13" s="37">
        <f t="shared" si="5"/>
        <v>1143.895</v>
      </c>
      <c r="G13" s="37">
        <v>1131.811</v>
      </c>
      <c r="H13" s="37">
        <v>450.276</v>
      </c>
      <c r="I13" s="37">
        <v>693.619</v>
      </c>
      <c r="J13" s="38">
        <f t="shared" si="1"/>
        <v>0.999908216783217</v>
      </c>
      <c r="K13" s="37">
        <v>1081.392</v>
      </c>
      <c r="L13" s="40">
        <f t="shared" si="8"/>
        <v>0.945359495408232</v>
      </c>
      <c r="M13" s="37">
        <v>0</v>
      </c>
      <c r="N13" s="42">
        <v>0</v>
      </c>
      <c r="O13" s="37">
        <v>0</v>
      </c>
      <c r="P13" s="37">
        <v>0</v>
      </c>
      <c r="Q13" s="37">
        <v>1110</v>
      </c>
      <c r="R13" s="37">
        <v>1536</v>
      </c>
    </row>
    <row r="14" ht="47" customHeight="1" spans="1:18">
      <c r="A14" s="52" t="s">
        <v>28</v>
      </c>
      <c r="B14" s="37">
        <f t="shared" si="4"/>
        <v>271</v>
      </c>
      <c r="C14" s="37">
        <v>255</v>
      </c>
      <c r="D14" s="52">
        <v>16</v>
      </c>
      <c r="E14" s="52">
        <v>0</v>
      </c>
      <c r="F14" s="37">
        <f t="shared" si="5"/>
        <v>216.663</v>
      </c>
      <c r="G14" s="37">
        <v>210.793</v>
      </c>
      <c r="H14" s="52">
        <v>137.574</v>
      </c>
      <c r="I14" s="37">
        <v>79.089</v>
      </c>
      <c r="J14" s="38">
        <f t="shared" si="1"/>
        <v>0.849658823529412</v>
      </c>
      <c r="K14" s="53">
        <v>197.487</v>
      </c>
      <c r="L14" s="40">
        <f t="shared" si="8"/>
        <v>0.911493886819623</v>
      </c>
      <c r="M14" s="37">
        <v>0</v>
      </c>
      <c r="N14" s="42">
        <v>0</v>
      </c>
      <c r="O14" s="37">
        <v>0</v>
      </c>
      <c r="P14" s="37">
        <v>0</v>
      </c>
      <c r="Q14" s="37">
        <v>291</v>
      </c>
      <c r="R14" s="37">
        <v>366</v>
      </c>
    </row>
  </sheetData>
  <mergeCells count="21">
    <mergeCell ref="A1:P1"/>
    <mergeCell ref="B3:E3"/>
    <mergeCell ref="F3:I3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</mergeCells>
  <conditionalFormatting sqref="P3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{9b3eb3fa-a68e-4d04-aeff-e450cf196fe8}</x14:id>
        </ext>
      </extLst>
    </cfRule>
    <cfRule type="dataBar" priority="4">
      <dataBar>
        <cfvo type="num" val="0"/>
        <cfvo type="num" val="0"/>
        <color theme="4" tint="0.4"/>
      </dataBar>
      <extLst>
        <ext xmlns:x14="http://schemas.microsoft.com/office/spreadsheetml/2009/9/main" uri="{B025F937-C7B1-47D3-B67F-A62EFF666E3E}">
          <x14:id>{35bbe79a-5ce9-4d61-8d97-960a5a3860c7}</x14:id>
        </ext>
      </extLst>
    </cfRule>
    <cfRule type="dataBar" priority="3">
      <dataBar>
        <cfvo type="num" val="0.01"/>
        <cfvo type="num" val="1"/>
        <color rgb="FF638EC6"/>
      </dataBar>
      <extLst>
        <ext xmlns:x14="http://schemas.microsoft.com/office/spreadsheetml/2009/9/main" uri="{B025F937-C7B1-47D3-B67F-A62EFF666E3E}">
          <x14:id>{9303bfff-f4a0-4f25-b8b5-916468a2199a}</x14:id>
        </ext>
      </extLst>
    </cfRule>
  </conditionalFormatting>
  <conditionalFormatting sqref="J6:J14">
    <cfRule type="dataBar" priority="24">
      <dataBar>
        <cfvo type="num" val="0.01"/>
        <cfvo type="num" val="1"/>
        <color theme="4" tint="0.4"/>
      </dataBar>
      <extLst>
        <ext xmlns:x14="http://schemas.microsoft.com/office/spreadsheetml/2009/9/main" uri="{B025F937-C7B1-47D3-B67F-A62EFF666E3E}">
          <x14:id>{1da81b03-7a72-44ce-8e64-ab47d6bdd851}</x14:id>
        </ext>
      </extLst>
    </cfRule>
    <cfRule type="dataBar" priority="22">
      <dataBar>
        <cfvo type="num" val="0"/>
        <cfvo type="num" val="1"/>
        <color theme="3" tint="0.4"/>
      </dataBar>
      <extLst>
        <ext xmlns:x14="http://schemas.microsoft.com/office/spreadsheetml/2009/9/main" uri="{B025F937-C7B1-47D3-B67F-A62EFF666E3E}">
          <x14:id>{4b68ddf4-fdc3-439e-841b-01b1f8f03011}</x14:id>
        </ext>
      </extLst>
    </cfRule>
    <cfRule type="dataBar" priority="20">
      <dataBar>
        <cfvo type="num" val="0"/>
        <cfvo type="num" val="1"/>
        <color rgb="FF008AEF"/>
      </dataBar>
      <extLst>
        <ext xmlns:x14="http://schemas.microsoft.com/office/spreadsheetml/2009/9/main" uri="{B025F937-C7B1-47D3-B67F-A62EFF666E3E}">
          <x14:id>{e77e2408-5c4d-4820-8594-67a8d7743eec}</x14:id>
        </ext>
      </extLst>
    </cfRule>
    <cfRule type="dataBar" priority="19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{1d15726c-a274-471e-8280-ada9c87be98a}</x14:id>
        </ext>
      </extLst>
    </cfRule>
    <cfRule type="dataBar" priority="17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{81c05ef8-3cd5-4a61-a571-1ca2ac6e9085}</x14:id>
        </ext>
      </extLst>
    </cfRule>
    <cfRule type="dataBar" priority="1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{3ef95461-cacc-4641-8d98-472f2d0cdac1}</x14:id>
        </ext>
      </extLst>
    </cfRule>
    <cfRule type="dataBar" priority="1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{a5e7ee21-5e84-4419-9861-a87b5eccaaef}</x14:id>
        </ext>
      </extLst>
    </cfRule>
    <cfRule type="dataBar" priority="11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{8d606adb-0ca7-48d2-adf9-ad5589bed72a}</x14:id>
        </ext>
      </extLst>
    </cfRule>
  </conditionalFormatting>
  <conditionalFormatting sqref="L6:L14">
    <cfRule type="dataBar" priority="25">
      <dataBar>
        <cfvo type="num" val="0.01"/>
        <cfvo type="num" val="1"/>
        <color theme="4" tint="0.4"/>
      </dataBar>
      <extLst>
        <ext xmlns:x14="http://schemas.microsoft.com/office/spreadsheetml/2009/9/main" uri="{B025F937-C7B1-47D3-B67F-A62EFF666E3E}">
          <x14:id>{b4997351-e51b-49c5-8e29-17a6a2fb207c}</x14:id>
        </ext>
      </extLst>
    </cfRule>
    <cfRule type="dataBar" priority="2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{9b039807-30be-4490-9ba4-e61f7dc5819b}</x14:id>
        </ext>
      </extLst>
    </cfRule>
    <cfRule type="dataBar" priority="21">
      <dataBar>
        <cfvo type="num" val="0"/>
        <cfvo type="num" val="1"/>
        <color theme="4" tint="0.4"/>
      </dataBar>
      <extLst>
        <ext xmlns:x14="http://schemas.microsoft.com/office/spreadsheetml/2009/9/main" uri="{B025F937-C7B1-47D3-B67F-A62EFF666E3E}">
          <x14:id>{ea427e41-9da1-4a04-aaf5-3f55e4409504}</x14:id>
        </ext>
      </extLst>
    </cfRule>
    <cfRule type="dataBar" priority="18">
      <dataBar>
        <cfvo type="min"/>
        <cfvo type="max"/>
        <color theme="5" tint="0.4"/>
      </dataBar>
      <extLst>
        <ext xmlns:x14="http://schemas.microsoft.com/office/spreadsheetml/2009/9/main" uri="{B025F937-C7B1-47D3-B67F-A62EFF666E3E}">
          <x14:id>{298dce5b-60fd-40bd-9dc6-aba8da53b0da}</x14:id>
        </ext>
      </extLst>
    </cfRule>
    <cfRule type="dataBar" priority="16">
      <dataBar>
        <cfvo type="min"/>
        <cfvo type="max"/>
        <color rgb="FFDE6940"/>
      </dataBar>
      <extLst>
        <ext xmlns:x14="http://schemas.microsoft.com/office/spreadsheetml/2009/9/main" uri="{B025F937-C7B1-47D3-B67F-A62EFF666E3E}">
          <x14:id>{fad739df-a3c4-4e6f-87dc-27eb533d175a}</x14:id>
        </ext>
      </extLst>
    </cfRule>
    <cfRule type="dataBar" priority="15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{f33edf50-8149-45b5-a4a7-21b07d44add9}</x14:id>
        </ext>
      </extLst>
    </cfRule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{52486da5-1eb6-4796-9a8b-c785f3d4dfc0}</x14:id>
        </ext>
      </extLst>
    </cfRule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{69db3e15-98a6-48bf-8bd7-d14741f4873f}</x14:id>
        </ext>
      </extLst>
    </cfRule>
    <cfRule type="dataBar" priority="9">
      <dataBar>
        <cfvo type="min"/>
        <cfvo type="max"/>
        <color theme="7" tint="0.4"/>
      </dataBar>
      <extLst>
        <ext xmlns:x14="http://schemas.microsoft.com/office/spreadsheetml/2009/9/main" uri="{B025F937-C7B1-47D3-B67F-A62EFF666E3E}">
          <x14:id>{52af0db1-e311-4eb0-a5b0-9fdec0e2f4c6}</x14:id>
        </ext>
      </extLst>
    </cfRule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{9d4adaba-3c0b-45f4-8593-66432fcffc05}</x14:id>
        </ext>
      </extLst>
    </cfRule>
  </conditionalFormatting>
  <conditionalFormatting sqref="N6:N14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{8c8f7c4d-9ccf-49db-a834-1a90e290d3a9}</x14:id>
        </ext>
      </extLst>
    </cfRule>
    <cfRule type="dataBar" priority="6">
      <dataBar>
        <cfvo type="min"/>
        <cfvo type="max"/>
        <color rgb="FF5FCA70"/>
      </dataBar>
      <extLst>
        <ext xmlns:x14="http://schemas.microsoft.com/office/spreadsheetml/2009/9/main" uri="{B025F937-C7B1-47D3-B67F-A62EFF666E3E}">
          <x14:id>{e7b09ddd-fbe1-4559-a73d-939174f0ea92}</x14:id>
        </ext>
      </extLst>
    </cfRule>
  </conditionalFormatting>
  <conditionalFormatting sqref="P6:P14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{d2ffc7e9-d959-446b-a743-777a041ed734}</x14:id>
        </ext>
      </extLst>
    </cfRule>
    <cfRule type="dataBar" priority="1">
      <dataBar>
        <cfvo type="min"/>
        <cfvo type="max"/>
        <color rgb="FFD157CA"/>
      </dataBar>
      <extLst>
        <ext xmlns:x14="http://schemas.microsoft.com/office/spreadsheetml/2009/9/main" uri="{B025F937-C7B1-47D3-B67F-A62EFF666E3E}">
          <x14:id>{e8e80f24-172e-43bb-b157-43cbbc9aa486}</x14:id>
        </ext>
      </extLst>
    </cfRule>
  </conditionalFormatting>
  <conditionalFormatting sqref="L1 L3:L14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{a7185bbd-515a-43af-8a85-056c535b1a3c}</x14:id>
        </ext>
      </extLst>
    </cfRule>
    <cfRule type="dataBar" priority="27">
      <dataBar>
        <cfvo type="num" val="0"/>
        <cfvo type="num" val="0"/>
        <color theme="4" tint="0.4"/>
      </dataBar>
      <extLst>
        <ext xmlns:x14="http://schemas.microsoft.com/office/spreadsheetml/2009/9/main" uri="{B025F937-C7B1-47D3-B67F-A62EFF666E3E}">
          <x14:id>{43ef4488-0974-4c91-a85d-c82d4bd1f73d}</x14:id>
        </ext>
      </extLst>
    </cfRule>
    <cfRule type="dataBar" priority="26">
      <dataBar>
        <cfvo type="num" val="0.01"/>
        <cfvo type="num" val="1"/>
        <color rgb="FF638EC6"/>
      </dataBar>
      <extLst>
        <ext xmlns:x14="http://schemas.microsoft.com/office/spreadsheetml/2009/9/main" uri="{B025F937-C7B1-47D3-B67F-A62EFF666E3E}">
          <x14:id>{73a0f4e2-5f6b-4671-8cea-709ab317e02a}</x14:id>
        </ext>
      </extLst>
    </cfRule>
  </conditionalFormatting>
  <pageMargins left="0.75" right="0.75" top="1" bottom="1" header="0.5" footer="0.5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b3eb3fa-a68e-4d04-aeff-e450cf196fe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35bbe79a-5ce9-4d61-8d97-960a5a3860c7}">
            <x14:dataBar minLength="0" maxLength="100" negativeBarColorSameAsPositive="1" axisPosition="none">
              <x14:cfvo type="num">
                <xm:f>0</xm:f>
              </x14:cfvo>
              <x14:cfvo type="num">
                <xm:f>0</xm:f>
              </x14:cfvo>
              <x14:axisColor indexed="65"/>
            </x14:dataBar>
          </x14:cfRule>
          <x14:cfRule type="dataBar" id="{9303bfff-f4a0-4f25-b8b5-916468a2199a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m:sqref>P3</xm:sqref>
        </x14:conditionalFormatting>
        <x14:conditionalFormatting xmlns:xm="http://schemas.microsoft.com/office/excel/2006/main">
          <x14:cfRule type="dataBar" id="{1da81b03-7a72-44ce-8e64-ab47d6bdd851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14:cfRule type="dataBar" id="{4b68ddf4-fdc3-439e-841b-01b1f8f03011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e77e2408-5c4d-4820-8594-67a8d7743eec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1d15726c-a274-471e-8280-ada9c87be98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81c05ef8-3cd5-4a61-a571-1ca2ac6e908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3ef95461-cacc-4641-8d98-472f2d0cdac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a5e7ee21-5e84-4419-9861-a87b5eccaaef}">
            <x14:dataBar minLength="0" maxLength="100" gradient="0" negativeBarColorSameAsPositive="1" axisPosition="none">
              <x14:cfvo type="min"/>
              <x14:cfvo type="max"/>
              <x14:axisColor indexed="65"/>
            </x14:dataBar>
          </x14:cfRule>
          <x14:cfRule type="dataBar" id="{8d606adb-0ca7-48d2-adf9-ad5589bed7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J6:J14</xm:sqref>
        </x14:conditionalFormatting>
        <x14:conditionalFormatting xmlns:xm="http://schemas.microsoft.com/office/excel/2006/main">
          <x14:cfRule type="dataBar" id="{b4997351-e51b-49c5-8e29-17a6a2fb207c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14:cfRule type="dataBar" id="{9b039807-30be-4490-9ba4-e61f7dc5819b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ea427e41-9da1-4a04-aaf5-3f55e4409504}">
            <x14:dataBar minLength="0" maxLength="100" negativeBarColorSameAsPositive="1" axisPosition="none">
              <x14:cfvo type="num">
                <xm:f>0</xm:f>
              </x14:cfvo>
              <x14:cfvo type="num">
                <xm:f>1</xm:f>
              </x14:cfvo>
              <x14:axisColor indexed="65"/>
            </x14:dataBar>
          </x14:cfRule>
          <x14:cfRule type="dataBar" id="{298dce5b-60fd-40bd-9dc6-aba8da53b0d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fad739df-a3c4-4e6f-87dc-27eb533d175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f33edf50-8149-45b5-a4a7-21b07d44add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52486da5-1eb6-4796-9a8b-c785f3d4dfc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69db3e15-98a6-48bf-8bd7-d14741f4873f}">
            <x14:dataBar minLength="0" maxLength="100" gradient="0" negativeBarColorSameAsPositive="1" axisPosition="none">
              <x14:cfvo type="min"/>
              <x14:cfvo type="max"/>
              <x14:axisColor indexed="65"/>
            </x14:dataBar>
          </x14:cfRule>
          <x14:cfRule type="dataBar" id="{52af0db1-e311-4eb0-a5b0-9fdec0e2f4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d4adaba-3c0b-45f4-8593-66432fcffc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L6:L14</xm:sqref>
        </x14:conditionalFormatting>
        <x14:conditionalFormatting xmlns:xm="http://schemas.microsoft.com/office/excel/2006/main">
          <x14:cfRule type="dataBar" id="{8c8f7c4d-9ccf-49db-a834-1a90e290d3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b09ddd-fbe1-4559-a73d-939174f0e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N6:N14</xm:sqref>
        </x14:conditionalFormatting>
        <x14:conditionalFormatting xmlns:xm="http://schemas.microsoft.com/office/excel/2006/main">
          <x14:cfRule type="dataBar" id="{d2ffc7e9-d959-446b-a743-777a041ed7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8e80f24-172e-43bb-b157-43cbbc9aa48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P6:P14</xm:sqref>
        </x14:conditionalFormatting>
        <x14:conditionalFormatting xmlns:xm="http://schemas.microsoft.com/office/excel/2006/main">
          <x14:cfRule type="dataBar" id="{a7185bbd-515a-43af-8a85-056c535b1a3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14:cfRule type="dataBar" id="{43ef4488-0974-4c91-a85d-c82d4bd1f73d}">
            <x14:dataBar minLength="0" maxLength="100" negativeBarColorSameAsPositive="1" axisPosition="none">
              <x14:cfvo type="num">
                <xm:f>0</xm:f>
              </x14:cfvo>
              <x14:cfvo type="num">
                <xm:f>0</xm:f>
              </x14:cfvo>
              <x14:axisColor indexed="65"/>
            </x14:dataBar>
          </x14:cfRule>
          <x14:cfRule type="dataBar" id="{73a0f4e2-5f6b-4671-8cea-709ab317e02a}">
            <x14:dataBar minLength="0" maxLength="100" negativeBarColorSameAsPositive="1" axisPosition="none">
              <x14:cfvo type="num">
                <xm:f>0.01</xm:f>
              </x14:cfvo>
              <x14:cfvo type="num">
                <xm:f>1</xm:f>
              </x14:cfvo>
              <x14:axisColor indexed="65"/>
            </x14:dataBar>
          </x14:cfRule>
          <xm:sqref>L1 L3:L14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20"/>
  <sheetViews>
    <sheetView workbookViewId="0">
      <selection activeCell="B21" sqref="B21"/>
    </sheetView>
  </sheetViews>
  <sheetFormatPr defaultColWidth="9" defaultRowHeight="12.75"/>
  <cols>
    <col min="1" max="1" width="7.62857142857143" customWidth="1"/>
    <col min="2" max="2" width="8.5047619047619" customWidth="1"/>
    <col min="3" max="3" width="12" customWidth="1"/>
    <col min="4" max="4" width="14.6285714285714" customWidth="1"/>
    <col min="5" max="5" width="14.752380952381" customWidth="1"/>
    <col min="6" max="6" width="18" customWidth="1"/>
    <col min="9" max="9" width="10.3714285714286"/>
  </cols>
  <sheetData>
    <row r="2" ht="51" customHeight="1" spans="1:11">
      <c r="A2" s="2" t="s">
        <v>81</v>
      </c>
      <c r="B2" s="3"/>
      <c r="C2" s="3"/>
      <c r="D2" s="3"/>
      <c r="E2" s="3"/>
      <c r="F2" s="3"/>
    </row>
    <row r="3" ht="30" customHeight="1" spans="1:11">
      <c r="A3" s="4" t="s">
        <v>82</v>
      </c>
      <c r="B3" s="4"/>
      <c r="C3" s="4" t="s">
        <v>83</v>
      </c>
      <c r="D3" s="4" t="s">
        <v>84</v>
      </c>
      <c r="E3" s="4" t="s">
        <v>85</v>
      </c>
      <c r="F3" s="4" t="s">
        <v>86</v>
      </c>
    </row>
    <row r="4" ht="30" customHeight="1" spans="1:11">
      <c r="A4" s="5">
        <v>12.1</v>
      </c>
      <c r="B4" s="6" t="s">
        <v>62</v>
      </c>
      <c r="C4" s="7">
        <v>4</v>
      </c>
      <c r="D4" s="7">
        <f>5000+14010+966110+550</f>
        <v>985670</v>
      </c>
      <c r="E4" s="8" t="s">
        <v>87</v>
      </c>
      <c r="F4" s="7"/>
    </row>
    <row r="5" ht="30" customHeight="1" spans="1:11">
      <c r="A5" s="9"/>
      <c r="B5" s="6" t="s">
        <v>63</v>
      </c>
      <c r="C5" s="7">
        <v>12</v>
      </c>
      <c r="D5" s="7">
        <v>28760</v>
      </c>
      <c r="E5" s="7">
        <v>390</v>
      </c>
      <c r="F5" s="7"/>
    </row>
    <row r="6" ht="30" customHeight="1" spans="1:11">
      <c r="A6" s="10">
        <v>10.22</v>
      </c>
      <c r="B6" s="6" t="s">
        <v>62</v>
      </c>
      <c r="C6" s="7">
        <v>19</v>
      </c>
      <c r="D6" s="7">
        <f>10300+34900+10300+41900+40300+900+2400+900+1100+930+4500+4500+2400+2400+1140+800+1800+2300+5000</f>
        <v>168770</v>
      </c>
      <c r="E6" s="7"/>
      <c r="F6" s="7"/>
    </row>
    <row r="7" ht="30" customHeight="1" spans="1:11">
      <c r="A7" s="10"/>
      <c r="B7" s="6" t="s">
        <v>63</v>
      </c>
      <c r="C7" s="8" t="s">
        <v>87</v>
      </c>
      <c r="D7" s="8" t="s">
        <v>87</v>
      </c>
      <c r="E7" s="8" t="s">
        <v>87</v>
      </c>
      <c r="F7" s="7"/>
    </row>
    <row r="8" ht="30" customHeight="1" spans="1:11">
      <c r="A8" s="5">
        <v>10.17</v>
      </c>
      <c r="B8" s="6" t="s">
        <v>62</v>
      </c>
      <c r="C8" s="7">
        <v>4</v>
      </c>
      <c r="D8" s="7">
        <f>27100+52100+242940+149190</f>
        <v>471330</v>
      </c>
      <c r="E8" s="8" t="s">
        <v>87</v>
      </c>
      <c r="F8" s="7"/>
    </row>
    <row r="9" ht="30" customHeight="1" spans="1:11">
      <c r="A9" s="9"/>
      <c r="B9" s="6" t="s">
        <v>63</v>
      </c>
      <c r="C9" s="8" t="s">
        <v>87</v>
      </c>
      <c r="D9" s="8" t="s">
        <v>87</v>
      </c>
      <c r="E9" s="8" t="s">
        <v>87</v>
      </c>
      <c r="F9" s="7"/>
    </row>
    <row r="10" ht="30" customHeight="1" spans="1:11">
      <c r="A10" s="5">
        <v>9.22</v>
      </c>
      <c r="B10" s="6" t="s">
        <v>62</v>
      </c>
      <c r="C10" s="7">
        <v>1</v>
      </c>
      <c r="D10" s="7">
        <v>535460</v>
      </c>
      <c r="E10" s="8" t="s">
        <v>87</v>
      </c>
      <c r="F10" s="7"/>
    </row>
    <row r="11" ht="30" customHeight="1" spans="1:11">
      <c r="A11" s="9"/>
      <c r="B11" s="6" t="s">
        <v>63</v>
      </c>
      <c r="C11" s="8" t="s">
        <v>87</v>
      </c>
      <c r="D11" s="8" t="s">
        <v>87</v>
      </c>
      <c r="E11" s="8" t="s">
        <v>87</v>
      </c>
      <c r="F11" s="7"/>
    </row>
    <row r="12" s="1" customFormat="1" ht="30" customHeight="1" spans="1:11">
      <c r="A12" s="11">
        <v>6.13</v>
      </c>
      <c r="B12" s="12" t="s">
        <v>62</v>
      </c>
      <c r="C12" s="13">
        <v>20</v>
      </c>
      <c r="D12" s="13">
        <f>1300+1500+4500+1100+700+1770+400+5000+930+1300+1300+1500+1800+1300+4500+4500+4500+900+3600+800</f>
        <v>43200</v>
      </c>
      <c r="E12" s="13" t="s">
        <v>87</v>
      </c>
      <c r="F12" s="13"/>
      <c r="H12" s="13">
        <v>28</v>
      </c>
      <c r="I12" s="13">
        <f>800+3600+1770+1100+930+1300+1300+700+1300+1500+4500+4500+1800+5000+400+1500+1300+4500+4500+900+10300+21000+31300+31300+31300+1373980+13900+10300</f>
        <v>1566580</v>
      </c>
      <c r="J12" s="14" t="s">
        <v>87</v>
      </c>
      <c r="K12" s="12" t="s">
        <v>88</v>
      </c>
    </row>
    <row r="13" s="1" customFormat="1" ht="30" customHeight="1" spans="1:11">
      <c r="A13" s="15"/>
      <c r="B13" s="12" t="s">
        <v>63</v>
      </c>
      <c r="C13" s="13">
        <v>2</v>
      </c>
      <c r="D13" s="13" t="s">
        <v>87</v>
      </c>
      <c r="E13" s="13">
        <v>2430</v>
      </c>
      <c r="F13" s="13"/>
      <c r="H13" s="13">
        <v>2</v>
      </c>
      <c r="I13" s="14" t="s">
        <v>87</v>
      </c>
      <c r="J13" s="13">
        <f>2400+30</f>
        <v>2430</v>
      </c>
      <c r="K13" s="13"/>
    </row>
    <row r="14" s="1" customFormat="1" ht="30" customHeight="1" spans="1:11">
      <c r="A14" s="16">
        <v>6.11</v>
      </c>
      <c r="B14" s="12" t="s">
        <v>62</v>
      </c>
      <c r="C14" s="13">
        <v>8</v>
      </c>
      <c r="D14" s="13">
        <f>10300+10300+31300+1373980+13900+31300+21000+31300</f>
        <v>1523380</v>
      </c>
      <c r="E14" s="13"/>
      <c r="F14" s="13"/>
      <c r="H14" s="14" t="s">
        <v>87</v>
      </c>
      <c r="I14" s="14" t="s">
        <v>87</v>
      </c>
      <c r="J14" s="14" t="s">
        <v>87</v>
      </c>
      <c r="K14" s="13"/>
    </row>
    <row r="15" s="1" customFormat="1" ht="30" customHeight="1" spans="1:11">
      <c r="A15" s="16"/>
      <c r="B15" s="12" t="s">
        <v>63</v>
      </c>
      <c r="C15" s="13">
        <v>1</v>
      </c>
      <c r="D15" s="14" t="s">
        <v>87</v>
      </c>
      <c r="E15" s="13">
        <v>52300</v>
      </c>
      <c r="F15" s="13"/>
      <c r="H15" s="13">
        <v>1</v>
      </c>
      <c r="I15" s="14" t="s">
        <v>87</v>
      </c>
      <c r="J15" s="13">
        <v>52300</v>
      </c>
      <c r="K15" s="13"/>
    </row>
    <row r="16" ht="30" customHeight="1" spans="1:11">
      <c r="A16" s="17" t="s">
        <v>20</v>
      </c>
      <c r="B16" s="6" t="s">
        <v>62</v>
      </c>
      <c r="C16" s="7"/>
      <c r="D16" s="18">
        <f>D4+D6+D8+D10+D12+D14</f>
        <v>3727810</v>
      </c>
      <c r="E16" s="8" t="s">
        <v>87</v>
      </c>
      <c r="F16" s="7"/>
    </row>
    <row r="17" ht="30" customHeight="1" spans="1:8">
      <c r="A17" s="19"/>
      <c r="B17" s="6" t="s">
        <v>63</v>
      </c>
      <c r="C17" s="20"/>
      <c r="D17" s="7">
        <f>D5</f>
        <v>28760</v>
      </c>
      <c r="E17" s="7">
        <f>E5+E13+E15</f>
        <v>55120</v>
      </c>
      <c r="F17" s="20"/>
      <c r="H17">
        <f>D14+E15</f>
        <v>1575680</v>
      </c>
    </row>
    <row r="19" ht="31" customHeight="1" spans="1:8">
      <c r="D19" s="21">
        <v>372.781</v>
      </c>
      <c r="E19" s="21">
        <f>D19-355.904</f>
        <v>16.877</v>
      </c>
    </row>
    <row r="20" ht="31" customHeight="1" spans="1:8">
      <c r="D20" s="21">
        <v>2.876</v>
      </c>
      <c r="E20" s="21">
        <v>5.512</v>
      </c>
    </row>
  </sheetData>
  <mergeCells count="8">
    <mergeCell ref="A2:F2"/>
    <mergeCell ref="A4:A5"/>
    <mergeCell ref="A6:A7"/>
    <mergeCell ref="A8:A9"/>
    <mergeCell ref="A10:A11"/>
    <mergeCell ref="A12:A13"/>
    <mergeCell ref="A14:A15"/>
    <mergeCell ref="A16:A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每周进度表</vt:lpstr>
      <vt:lpstr>计算表</vt:lpstr>
      <vt:lpstr>报废补贴</vt:lpstr>
      <vt:lpstr>2025年12月31日数据定案表</vt:lpstr>
      <vt:lpstr>每周进度表（系统数据）底表</vt:lpstr>
      <vt:lpstr>Sheet1</vt:lpstr>
      <vt:lpstr>12.22底表--支付率以12.15的表为准</vt:lpstr>
      <vt:lpstr>和政县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若水</cp:lastModifiedBy>
  <dcterms:created xsi:type="dcterms:W3CDTF">2020-09-07T17:36:00Z</dcterms:created>
  <dcterms:modified xsi:type="dcterms:W3CDTF">2026-01-12T02:37:29Z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2052-12.1.0.24034</vt:lpwstr>
  </property>
  <property fmtid="{D5CDD505-2E9C-101B-9397-08002B2CF9AE}" pid="5" name="ICV">
    <vt:lpwstr>129502C7F694F190CFA7326958123301_43</vt:lpwstr>
  </property>
  <property fmtid="{D5CDD505-2E9C-101B-9397-08002B2CF9AE}" pid="6" name="commondata">
    <vt:lpwstr>eyJoZGlkIjoiMTU5MDk0OGViMjUwYTFkNjNhZjFlZjc3OTU1YzRkYTIifQ==</vt:lpwstr>
  </property>
  <property fmtid="{D5CDD505-2E9C-101B-9397-08002B2CF9AE}" pid="7" name="CalculationRule">
    <vt:i4>0</vt:i4>
  </property>
</Properties>
</file>